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_BOM" sheetId="1" r:id="rId1"/>
  </sheets>
  <definedNames>
    <definedName name="BoardQty" localSheetId="0">'kicost_BOM'!$H$1</definedName>
    <definedName name="PURCHASE_DESCRIPTION" localSheetId="0">'kicost_BOM'!$H$44</definedName>
    <definedName name="TotalCost" localSheetId="0">'kicost_BOM'!$H$3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$0.03      $1.30
   100   $0.02      $2.12
   500   $0.02      $7.58
  1000   $0.01     $11.92
  4000   $0.01     $39.88
  8000   $0.01     $72.80
 12000   $0.01    $104.04
 40000   $0.01    $329.20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$0.05      $2.40
   100   $0.02      $2.20
  1000   $0.01     $13.00
 10000   $0.01     $80.00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$0.03      $1.45
   100   $0.02      $2.36
   500   $0.02      $8.43
  1000   $0.01     $13.25
  4000   $0.01     $44.32
  8000   $0.01     $80.96
 12000   $0.01    $115.68
 40000   $0.01    $366.00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 50   $0.06      $2.85
   100   $0.03      $2.50
  1000   $0.01     $14.00
 10000   $0.01    $100.00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$1.40
    50   $0.08      $4.21
   100   $0.07      $7.10
   500   $0.05     $24.30
  1000   $0.04     $42.98
  4000   $0.04    $149.52
  8000   $0.04    $284.08
 12000   $0.03    $403.68
 28000   $0.03    $889.56
100000   $0.03  $2,523.00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$1.46
    50   $0.15      $7.30
   100   $0.07      $7.40
  1000   $0.04     $45.00
 10000   $0.04    $360.00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$1.62
   100   $0.03      $2.65
   500   $0.02      $9.47
  1000   $0.01     $14.88
  4000   $0.01     $49.80
  8000   $0.01     $90.96
 12000   $0.01    $129.84
 40000   $0.01    $411.20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$0.64
    50   $0.06      $3.20
   100   $0.03      $2.90
  1000   $0.02     $16.00
 10000   $0.01    $110.00</t>
        </r>
      </text>
    </comment>
    <comment ref="I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$0.05    $216.48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$0.19      $1.86
    50   $0.19      $9.30
   100   $0.11     $10.60
  1000   $0.07     $65.00
 10000   $0.05    $490.00</t>
        </r>
      </text>
    </comment>
    <comment ref="I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$1.40
    50   $0.08      $3.97
   100   $0.07      $6.58
   500   $0.05     $23.07
  1000   $0.04     $38.19
  4000   $0.03    $130.08
  8000   $0.03    $242.00
 12000   $0.03    $344.88
 28000   $0.03    $762.44
100000   $0.02  $2,062.00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$1.46
    50   $0.15      $7.30
   100   $0.07      $7.40
  1000   $0.05     $47.00
 10000   $0.04    $390.00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$0.25      $2.48
    50   $0.17      $8.68
   100   $0.15     $14.88
   500   $0.11     $55.81
  1000   $0.09     $94.26
  4000   $0.08    $337.36
  8000   $0.08    $635.04
 12000   $0.08    $922.80
 28000   $0.07  $2,083.76
100000   $0.06  $6,449.00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$0.11      $1.08
    50   $0.11      $5.40
   100   $0.08      $7.90
  1000   $0.08     $79.00
 10000   $0.07    $750.00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$1.55     $15.52
    50   $1.35     $67.28
   100   $1.16    $116.44
   500   $0.88    $439.88
  1000   $0.78    $776.25
  2000   $0.72  $1,449.00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$1.56     $15.60
    50   $1.35     $67.50
   100   $1.17    $117.00
  1000   $0.78    $777.00
 10000   $0.78  $7,770.00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$0.17      $8.50
   100   $0.15     $14.57
   500   $0.11     $54.65
  1000   $0.09     $92.29
  3000   $0.09    $262.32
  6000   $0.08    $495.48
  9000   $0.08    $699.48
 15000   $0.08  $1,129.35
 30000   $0.07  $2,185.80
 75000   $0.07  $5,100.75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$0.77
    50   $0.04      $2.19
   100   $0.04      $3.62
   500   $0.03     $12.70
  1000   $0.02     $21.03
  4000   $0.02     $71.60
  8000   $0.02    $133.20
 12000   $0.02    $189.84
 28000   $0.01    $419.72
100000   $0.01  $1,135.00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$1.20
    50   $0.12      $6.00
   100   $0.06      $5.60
  1000   $0.03     $33.00
 10000   $0.02    $240.00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$1.48     $14.80
    50   $1.28     $64.14
   100   $1.11    $111.00
   500   $0.84    $419.35
  1000   $0.74    $740.02
  2000   $0.69  $1,381.38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$1.48     $14.80
    50   $1.29     $64.50
   100   $1.11    $111.00
  1000   $0.74    $740.00
 10000   $0.74  $7,400.00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$0.03      $1.30
   100   $0.02      $2.12
   500   $0.02      $7.58
  1000   $0.01     $11.92
  4000   $0.01     $39.88
  8000   $0.01     $72.80
 12000   $0.01    $104.04
 40000   $0.01    $329.20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$0.05      $2.40
   100   $0.02      $2.20
  1000   $0.01     $13.00
 10000   $0.01     $80.00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$0.33      $3.25
   100   $0.22     $22.14
   500   $0.17     $83.03
  1000   $0.12    $124.54
  2000   $0.11    $228.34
  8000   $0.11    $880.64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$0.31      $3.14
    50   $0.31     $15.70
   100   $0.21     $21.40
  1000   $0.12    $120.00
 10000   $0.10  $1,000.00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50   $0.18      $8.80
   100   $0.17     $17.00
   500   $0.14     $72.00
  2000   $0.14    $288.00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$0.20      $1.96
    50   $0.18      $9.05
   100   $0.17     $17.50
  1000   $0.17    $172.00
 10000   $0.17  $1,720.00</t>
        </r>
      </text>
    </comment>
    <comment ref="I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$0.41      $4.05
   100   $0.31     $31.46
   500   $0.27    $134.84
  1000   $0.22    $224.73
  5000   $0.19    $963.10
 10000   $0.18  $1,797.80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$3.43
    50   $0.34     $17.15
   100   $0.27     $27.10
  1000   $0.21    $214.00
 10000   $0.17  $1,750.00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$1.70      $1.70
    10   $1.48     $14.84
    25   $1.42     $35.51
    50   $1.39     $69.45
   100   $1.33    $132.58
   250   $1.20    $299.88
   500   $1.10    $552.41
  1000   $0.95    $946.98
  2000   $0.92  $1,830.84
  3000   $0.88  $2,651.55
  5000   $0.84  $4,208.80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$1.41     $14.10
    50   $1.41     $70.50
   100   $1.35    $135.00
  1000   $0.97    $967.00
 10000   $0.85  $8,550.00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$0.21      $2.14
    25   $0.19      $4.69
    50   $0.16      $8.03
   100   $0.15     $14.73
   250   $0.13     $33.47
   500   $0.13     $62.92
  1000   $0.10     $96.39
  3000   $0.09    $273.09
  6000   $0.09    $514.08
 15000   $0.08  $1,245.00
 30000   $0.08  $2,409.90
 75000   $0.08  $5,823.75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$0.19      $1.88
    50   $0.19      $9.40
   100   $0.15     $15.30
  1000   $0.11    $108.00
 10000   $0.09    $910.00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$1.04
    25   $0.09      $2.35
    50   $0.07      $3.45
   100   $0.06      $5.96
   250   $0.05     $11.76
   500   $0.04     $19.86
  1000   $0.03     $33.44
  4000   $0.03    $125.40
  8000   $0.03    $234.08
 12000   $0.03    $326.04
 28000   $0.03    $752.08
100000   $0.03  $2,613.00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$0.07      $0.69
    50   $0.07      $3.45
   100   $0.05      $4.70
  1000   $0.03     $34.00
 10000   $0.03    $290.00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$0.09      $0.88
    25   $0.08      $1.98
    50   $0.06      $2.90
   100   $0.05      $5.02
   250   $0.04      $9.90
   500   $0.03     $16.72
  1000   $0.03     $28.16
  4000   $0.03    $105.60
  8000   $0.02    $197.12
 12000   $0.02    $274.56
 28000   $0.02    $633.36
100000   $0.02  $2,200.00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$0.58
    50   $0.06      $2.90
   100   $0.05      $5.10
  1000   $0.03     $29.00
 10000   $0.02    $220.00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
 10000   $0.00     $27.10
 25000   $0.00     $59.50
 50000   $0.00    $109.50
125000   $0.00    $267.50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 50   $0.02      $0.85
   100   $0.01      $0.70
  1000   $0.00      $4.00
 10000   $0.00     $20.00</t>
        </r>
      </text>
    </comment>
    <comment ref="I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$0.09    $443.15</t>
        </r>
      </text>
    </comment>
    <comment ref="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$0.45      $4.48
    50   $0.45     $22.40
   100   $0.19     $18.90
  1000   $0.13    $132.00
 10000   $0.11  $1,120.00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
 10000   $0.00     $27.10
 25000   $0.00     $59.50
 50000   $0.00    $109.50
125000   $0.00    $267.50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 50   $0.02      $0.85
   100   $0.01      $0.70
  1000   $0.00      $4.00
 10000   $0.00     $20.00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
 10000   $0.00     $27.10
 25000   $0.00     $59.50
 50000   $0.00    $109.50
125000   $0.00    $267.50</t>
        </r>
      </text>
    </comment>
    <comment ref="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 50   $0.02      $0.85
   100   $0.01      $0.70
  1000   $0.00      $4.00
 10000   $0.00     $30.00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
 10000   $0.00     $27.10
 25000   $0.00     $59.50
 50000   $0.00    $109.50
125000   $0.00    $267.50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 50   $0.02      $0.85
   100   $0.01      $0.70
  1000   $0.00      $4.00
 10000   $0.00     $20.00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$1.82      $1.82
    10   $1.77     $17.70
    25   $1.61     $40.23
   100   $1.40    $139.82
   250   $1.27    $316.77
   500   $1.18    $589.85
  1000   $1.09  $1,092.32
  3000   $0.99  $2,971.11
  5000   $0.92  $4,587.70
 10000   $0.87  $8,738.50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$1.76      $1.76
    10   $1.65     $16.50
    50   $1.49     $74.50
   100   $1.36    $136.00
  1000   $1.09  $1,090.00
 10000   $0.99  $9,900.00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50   $0.51     $25.35
   100   $0.46     $46.20
   500   $0.42    $209.50
  1000   $0.36    $364.00
  2000   $0.33    $652.00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$0.56      $5.65
    50   $0.52     $26.10
   100   $0.48     $47.60
  1000   $0.43    $432.00
 10000   $0.43  $4,320.00</t>
        </r>
      </text>
    </comment>
    <comment ref="I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$24.64     $24.64
    10  $22.72    $227.23
    25  $21.70    $542.53
    80  $21.28  $1,702.06</t>
        </r>
      </text>
    </comment>
    <comment ref="O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$24.63     $24.63
    10  $22.73    $227.30
    50  $21.71  $1,085.50
   100  $19.41  $1,941.00
  1000  $17.02 $17,020.00
 10000  $17.02 $170,200.00</t>
        </r>
      </text>
    </comment>
    <comment ref="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$1.18      $1.18
    10   $1.05     $10.53
    25   $1.00     $24.98
   100   $0.82     $82.09
   250   $0.77    $191.83
   500   $0.68    $339.06
  1000   $0.59    $589.22
  3000   $0.59  $1,767.69</t>
        </r>
      </text>
    </comment>
    <comment ref="O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$1.17      $1.17
    10   $1.06     $10.60
    50   $1.00     $50.00
   100   $0.82     $82.10
  1000   $0.54    $539.00
 10000   $0.54  $5,380.00</t>
        </r>
      </text>
    </comment>
    <comment ref="I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$0.70      $7.04
    25   $0.66     $16.53
   100   $0.54     $53.96
   250   $0.50    $125.30
   500   $0.43    $213.27
  1000   $0.35    $352.10
  2500   $0.35    $880.25</t>
        </r>
      </text>
    </comment>
    <comment ref="O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$0.66      $6.61
    50   $0.66     $33.05
   100   $0.54     $54.00
  1000   $0.34    $342.00
 10000   $0.32  $3,210.00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216   $7.08  $1,529.60</t>
        </r>
      </text>
    </comment>
    <comment ref="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$8.47      $8.47
    10   $8.00     $80.00
    50   $7.61    $380.50
   100   $7.61    $761.00
  1000   $7.23  $7,230.00
 10000   $7.23 $72,300.00</t>
        </r>
      </text>
    </comment>
    <comment ref="I3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$13.68     $13.68
    10  $12.67    $126.68
    25  $12.38    $309.52
    50  $12.31    $615.73
   100  $10.84  $1,084.07
   250  $10.30  $2,575.68
   500  $10.20  $5,099.76
  1000   $9.87  $9,870.00</t>
        </r>
      </text>
    </comment>
    <comment ref="Q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$13.96     $13.96
    10  $12.93    $129.30
    50  $12.32    $616.00
   100  $11.06  $1,106.00
  1000  $10.41 $10,410.00
 10000  $10.41 $104,100.00</t>
        </r>
      </text>
    </comment>
    <comment ref="O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$1.34      $1.34
    10   $1.19     $11.90
    50   $1.12     $56.00
   100   $0.98     $98.30
  1000   $0.78    $776.00
 10000   $0.75  $7,500.00</t>
        </r>
      </text>
    </comment>
    <comment ref="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$0.71      $7.08
    50   $0.66     $33.11
   100   $0.59     $58.52
   500   $0.55    $277.20
  1000   $0.46    $462.00
  3000   $0.45  $1,339.80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$0.57      $5.75
    50   $0.57     $28.75
   100   $0.47     $47.50
  1000   $0.38    $375.00
 10000   $0.36  $3,620.00</t>
        </r>
      </text>
    </comment>
    <comment ref="G4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<sst xmlns="http://schemas.openxmlformats.org/spreadsheetml/2006/main" count="350" uniqueCount="213">
  <si>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</si>
  <si>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</si>
  <si>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</si>
  <si>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</si>
  <si>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</si>
  <si>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</si>
  <si>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</si>
  <si>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</si>
  <si>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</si>
  <si>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C1,C4,C6,C7,C10,C11,C13,C14,C16,C17,C19-C28,C34,C35,C39-C51</t>
  </si>
  <si>
    <t>100nF</t>
  </si>
  <si>
    <t>C_0603_1608Metric_Pad1.08x0.95mm_HandSolder</t>
  </si>
  <si>
    <t>YAGEO</t>
  </si>
  <si>
    <t>CC0603KRX7R7BB104</t>
  </si>
  <si>
    <t>C2,C3</t>
  </si>
  <si>
    <t>1.5nF</t>
  </si>
  <si>
    <t>CC0603CRNPO9BN1R5</t>
  </si>
  <si>
    <t>C5</t>
  </si>
  <si>
    <t>10uF</t>
  </si>
  <si>
    <t>Murata Electronics</t>
  </si>
  <si>
    <t>GRM188R60J106ME47D</t>
  </si>
  <si>
    <t>C8</t>
  </si>
  <si>
    <t>220pF</t>
  </si>
  <si>
    <t>CC0603JRNPO9BN221</t>
  </si>
  <si>
    <t>C9,C12,C52</t>
  </si>
  <si>
    <t>4.7uF</t>
  </si>
  <si>
    <t>C_0805_2012Metric_Pad1.18x1.45mm_HandSolder</t>
  </si>
  <si>
    <t>GRM219R60J475ME19D</t>
  </si>
  <si>
    <t>C15,C18</t>
  </si>
  <si>
    <t>2.2uF</t>
  </si>
  <si>
    <t>CC0603KRX5R6BB225</t>
  </si>
  <si>
    <t>C29</t>
  </si>
  <si>
    <t>GRM188R60G106ME47D</t>
  </si>
  <si>
    <t>C30,C36</t>
  </si>
  <si>
    <t>595D475X9016A2T</t>
  </si>
  <si>
    <t>Vishay Sprague</t>
  </si>
  <si>
    <t>C31,C37,C38</t>
  </si>
  <si>
    <t>CC0805KKX5R8BB106</t>
  </si>
  <si>
    <t>C32</t>
  </si>
  <si>
    <t>1uF</t>
  </si>
  <si>
    <t>CC0603KRX5R7BB105</t>
  </si>
  <si>
    <t>C33</t>
  </si>
  <si>
    <t>595D105X9035A2T</t>
  </si>
  <si>
    <t>C53,C54</t>
  </si>
  <si>
    <t>100nf</t>
  </si>
  <si>
    <t>CR1,CR2</t>
  </si>
  <si>
    <t>ESDA7P60-1U1M</t>
  </si>
  <si>
    <t>STMicroelectronics</t>
  </si>
  <si>
    <t>D1</t>
  </si>
  <si>
    <t>GREEN</t>
  </si>
  <si>
    <t>LED_1206_3216Metric_Pad1.42x1.75mm_HandSolder</t>
  </si>
  <si>
    <t>Würth Elektronik</t>
  </si>
  <si>
    <t>156120VS75000</t>
  </si>
  <si>
    <t>J1-J3</t>
  </si>
  <si>
    <t>Conn_01x02</t>
  </si>
  <si>
    <t>PinHeader_1x02_P2.54mm_Vertical</t>
  </si>
  <si>
    <t>Amphenol ICC (FCI)</t>
  </si>
  <si>
    <t>54101-S0802LF</t>
  </si>
  <si>
    <t>J4</t>
  </si>
  <si>
    <t>USB_C_Receptacle_USB2.0</t>
  </si>
  <si>
    <t>USB_C_Receptacle_Amphenol_12401610E4-2A</t>
  </si>
  <si>
    <t>Amphenol ICC (Commercial Products)</t>
  </si>
  <si>
    <t>12401610E4#2A</t>
  </si>
  <si>
    <t>JP1-JP7</t>
  </si>
  <si>
    <t>SolderJumper_2_Open</t>
  </si>
  <si>
    <t>SolderJumper-2_P1.3mm_Open_RoundedPad1.0x1.5mm</t>
  </si>
  <si>
    <t>L1</t>
  </si>
  <si>
    <t>2.2uH</t>
  </si>
  <si>
    <t>INDC2016X100N</t>
  </si>
  <si>
    <t>LQM2MPN2R2NG0L</t>
  </si>
  <si>
    <t>L2</t>
  </si>
  <si>
    <t>FBMJ1608HM180NTR</t>
  </si>
  <si>
    <t>L_0603_1608Metric_Pad1.05x0.95mm_HandSolder</t>
  </si>
  <si>
    <t>Taiyo Yuden</t>
  </si>
  <si>
    <t>L3</t>
  </si>
  <si>
    <t>2506036017Y0</t>
  </si>
  <si>
    <t>Fair-Rite</t>
  </si>
  <si>
    <t>R1,R2,R6,R29-R32,R67</t>
  </si>
  <si>
    <t>10K</t>
  </si>
  <si>
    <t>R_0603_1608Metric_Pad0.98x0.95mm_HandSolder</t>
  </si>
  <si>
    <t>RC0603FR-0710KL</t>
  </si>
  <si>
    <t>R3,R4,R7</t>
  </si>
  <si>
    <t>0</t>
  </si>
  <si>
    <t>Rohm Semiconductor</t>
  </si>
  <si>
    <t>PMR03EZPJ000</t>
  </si>
  <si>
    <t>R5</t>
  </si>
  <si>
    <t>51</t>
  </si>
  <si>
    <t>RC0603FR-0751RL</t>
  </si>
  <si>
    <t>R8</t>
  </si>
  <si>
    <t>1K</t>
  </si>
  <si>
    <t>RC0603FR-071KL</t>
  </si>
  <si>
    <t>R9-R28,R33-R66,R68-R73</t>
  </si>
  <si>
    <t>33</t>
  </si>
  <si>
    <t>RC0603FR-0733RL</t>
  </si>
  <si>
    <t>S1</t>
  </si>
  <si>
    <t>CAS-D20TA</t>
  </si>
  <si>
    <t>SW_CAS-D20TA</t>
  </si>
  <si>
    <t>Nidec Copal</t>
  </si>
  <si>
    <t>SW1</t>
  </si>
  <si>
    <t>SW_MEC_5E</t>
  </si>
  <si>
    <t>Button_switch_wuerth_elektronik_430481025816</t>
  </si>
  <si>
    <t>430481025816</t>
  </si>
  <si>
    <t>TP1-TP4</t>
  </si>
  <si>
    <t>TestPoint</t>
  </si>
  <si>
    <t>TestPoint_Pad_D3.0mm</t>
  </si>
  <si>
    <t>U1</t>
  </si>
  <si>
    <t>STM32H745BIT3</t>
  </si>
  <si>
    <t>STM32H745BIT6</t>
  </si>
  <si>
    <t>U2</t>
  </si>
  <si>
    <t>ST1L05APU33R</t>
  </si>
  <si>
    <t>U3</t>
  </si>
  <si>
    <t>LD1117S18TR_SOT223</t>
  </si>
  <si>
    <t>SOT-223-3_TabPin2</t>
  </si>
  <si>
    <t>LD1117S18TR</t>
  </si>
  <si>
    <t>U4</t>
  </si>
  <si>
    <t>IS42S32800J-6TLI</t>
  </si>
  <si>
    <t>SOP50P1176X120-86N</t>
  </si>
  <si>
    <t>U5,U6</t>
  </si>
  <si>
    <t>MT25QL512ABB8ESF-0AAT</t>
  </si>
  <si>
    <t>MICRON</t>
  </si>
  <si>
    <t>X1</t>
  </si>
  <si>
    <t>25MHz</t>
  </si>
  <si>
    <t>Oscillator_SMD_ECS_2520MV-xxx-xx-4Pin_2.5x2.0mm</t>
  </si>
  <si>
    <t>Epson Timing</t>
  </si>
  <si>
    <t>SG-210STF 25.0000ML5</t>
  </si>
  <si>
    <t>Y1</t>
  </si>
  <si>
    <t>ECS-.327-6-34R-TR</t>
  </si>
  <si>
    <t>Crystal_SMD_EuroQuartz_EQ161-2Pin_3.2x1.5mm_HandSoldering</t>
  </si>
  <si>
    <t>ECS</t>
  </si>
  <si>
    <t>Digi-Key</t>
  </si>
  <si>
    <t>Avail</t>
  </si>
  <si>
    <t>Purch</t>
  </si>
  <si>
    <t>MOQ</t>
  </si>
  <si>
    <t>Cat#</t>
  </si>
  <si>
    <t>311-1088-1-ND</t>
  </si>
  <si>
    <t>311-1050-1-ND</t>
  </si>
  <si>
    <t>490-3896-1-ND</t>
  </si>
  <si>
    <t>311-1073-1-ND</t>
  </si>
  <si>
    <t>490-GRM219R60J475ME19DTR-ND</t>
  </si>
  <si>
    <t>NonStk</t>
  </si>
  <si>
    <t>311-1451-1-ND</t>
  </si>
  <si>
    <t>490-3298-1-ND</t>
  </si>
  <si>
    <t>718-595D475X9016A2TCT-ND</t>
  </si>
  <si>
    <t>311-1869-1-ND</t>
  </si>
  <si>
    <t>311-1444-1-ND</t>
  </si>
  <si>
    <t>718-595D105X9035A2TCT-ND</t>
  </si>
  <si>
    <t>497-16253-1-ND</t>
  </si>
  <si>
    <t>732-5032-1-ND</t>
  </si>
  <si>
    <t>54101-S0802LF-ND</t>
  </si>
  <si>
    <t>12401610E4#2ACT-ND</t>
  </si>
  <si>
    <t>490-7786-1-ND</t>
  </si>
  <si>
    <t>587-3251-1-ND</t>
  </si>
  <si>
    <t>1934-1486-1-ND</t>
  </si>
  <si>
    <t>311-10.0KHRCT-ND</t>
  </si>
  <si>
    <t>PMR03EZPJ000-ND</t>
  </si>
  <si>
    <t>311-51.0HRCT-ND</t>
  </si>
  <si>
    <t>311-1.00KHRCT-ND</t>
  </si>
  <si>
    <t>311-33.0HRCT-ND</t>
  </si>
  <si>
    <t>CASD20JCT-ND</t>
  </si>
  <si>
    <t>732-7022-1-ND</t>
  </si>
  <si>
    <t>STM32H745BIT6-ND</t>
  </si>
  <si>
    <t>497-8980-1-ND</t>
  </si>
  <si>
    <t>497-7308-1-ND</t>
  </si>
  <si>
    <t>IS42S32800J-6TLI-ND</t>
  </si>
  <si>
    <t>MT25QL512ABB8ESF-0AAT-ND</t>
  </si>
  <si>
    <t>XC3152CT-ND</t>
  </si>
  <si>
    <t>Buy here</t>
  </si>
  <si>
    <t>Mouser</t>
  </si>
  <si>
    <t>603CC603KRX7R7BB104</t>
  </si>
  <si>
    <t>603CC603CRNPO9BN1R5</t>
  </si>
  <si>
    <t>81GRM188R60J106ME47</t>
  </si>
  <si>
    <t>603C0603JRNPO9BN221</t>
  </si>
  <si>
    <t>81GRM219R60J475ME9D</t>
  </si>
  <si>
    <t>603CC603KRX5R6BB225</t>
  </si>
  <si>
    <t>81GRM188R60G106ME47</t>
  </si>
  <si>
    <t>74595D475X9016A2T</t>
  </si>
  <si>
    <t>603CC603KRX5R7BB105</t>
  </si>
  <si>
    <t>74595D105X9035A2T</t>
  </si>
  <si>
    <t>511ESDA7P601U1M</t>
  </si>
  <si>
    <t>710156120VS75000</t>
  </si>
  <si>
    <t>64954101S0802LF</t>
  </si>
  <si>
    <t>52312401610E4#2A</t>
  </si>
  <si>
    <t>81LQM2MPN2R2NG0L</t>
  </si>
  <si>
    <t>963FBMJ1608HM180NTR</t>
  </si>
  <si>
    <t>6232506036017Y0</t>
  </si>
  <si>
    <t>603RC0603FR0710KL</t>
  </si>
  <si>
    <t>755PMR03EZPJ000</t>
  </si>
  <si>
    <t>603RC0603FR0751RL</t>
  </si>
  <si>
    <t>603RC0603FR071KL</t>
  </si>
  <si>
    <t>603RC0603FR0733RL</t>
  </si>
  <si>
    <t>229CASD20TA</t>
  </si>
  <si>
    <t>710430481025816</t>
  </si>
  <si>
    <t>511STM32H745BIT6</t>
  </si>
  <si>
    <t>511ST1L05APU33R</t>
  </si>
  <si>
    <t>511LD1117S18TR</t>
  </si>
  <si>
    <t>87042S32800J6TLI</t>
  </si>
  <si>
    <t>340285789TRAY</t>
  </si>
  <si>
    <t>732SG210STF25.0ML5</t>
  </si>
  <si>
    <t>520.327634RT</t>
  </si>
  <si>
    <t>Total Purchase:</t>
  </si>
  <si>
    <t>Purchase description:</t>
  </si>
  <si>
    <t>Prj:</t>
  </si>
  <si>
    <t>main</t>
  </si>
  <si>
    <t>Co.:</t>
  </si>
  <si>
    <t>HardGFX</t>
  </si>
  <si>
    <t>Prj date:</t>
  </si>
  <si>
    <t>mié 18 may 2022 19:07:26</t>
  </si>
  <si>
    <t>Board Qty:</t>
  </si>
  <si>
    <t>Total Cost:</t>
  </si>
  <si>
    <t>Unit Cost:</t>
  </si>
  <si>
    <t>$ date:</t>
  </si>
  <si>
    <t>2022-05-18 19:08:07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</si>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</sst>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octopart.com/click/track?ai=8078&amp;sig=0249b7d&amp;sid=459&amp;ppid=192941&amp;vpid=115263392&amp;ct=offers" TargetMode="External"/><Relationship Id="rId3" Type="http://schemas.openxmlformats.org/officeDocument/2006/relationships/hyperlink" Target="https://octopart.com/click/track?ai=8078&amp;sig=0aa2562&amp;sid=2401&amp;ppid=192941&amp;vpid=116521269&amp;ct=offers" TargetMode="External"/><Relationship Id="rId4" Type="http://schemas.openxmlformats.org/officeDocument/2006/relationships/hyperlink" Target="https://www.yageo.com/upload/media/product/productsearch/datasheet/mlcc/UPY-GP_NP0_16V-to-50V_18.pdf" TargetMode="External"/><Relationship Id="rId5" Type="http://schemas.openxmlformats.org/officeDocument/2006/relationships/hyperlink" Target="https://octopart.com/click/track?ai=8078&amp;sig=0ff0f76&amp;sid=459&amp;ppid=42333941&amp;vpid=116186444&amp;ct=offers" TargetMode="External"/><Relationship Id="rId6" Type="http://schemas.openxmlformats.org/officeDocument/2006/relationships/hyperlink" Target="https://octopart.com/click/track?ai=8078&amp;sig=0babf5a&amp;sid=2401&amp;ppid=42333941&amp;vpid=193535552&amp;ct=offers" TargetMode="External"/><Relationship Id="rId7" Type="http://schemas.openxmlformats.org/officeDocument/2006/relationships/hyperlink" Target="https://www.murata.com/-/media/webrenewal/support/library/catalog/products/capacitor/ceramiccapacitor/c02e.ashx?la=en-us&amp;cvid=20210120024548000000" TargetMode="External"/><Relationship Id="rId8" Type="http://schemas.openxmlformats.org/officeDocument/2006/relationships/hyperlink" Target="https://octopart.com/click/track?ai=8078&amp;sig=0f059fe&amp;sid=459&amp;ppid=197448&amp;vpid=1659623&amp;ct=offers" TargetMode="External"/><Relationship Id="rId9" Type="http://schemas.openxmlformats.org/officeDocument/2006/relationships/hyperlink" Target="https://octopart.com/click/track?ai=8078&amp;sig=0e22430&amp;sid=2401&amp;ppid=197448&amp;vpid=38925198&amp;ct=offers" TargetMode="External"/><Relationship Id="rId10" Type="http://schemas.openxmlformats.org/officeDocument/2006/relationships/hyperlink" Target="https://www.yageo.com/upload/media/product/productsearch/datasheet/mlcc/UPY-GP_NP0_16V-to-50V_18.pdf" TargetMode="External"/><Relationship Id="rId11" Type="http://schemas.openxmlformats.org/officeDocument/2006/relationships/hyperlink" Target="https://octopart.com/click/track?ai=8078&amp;sig=042e624&amp;sid=459&amp;ppid=8409962&amp;vpid=119670961&amp;ct=offers" TargetMode="External"/><Relationship Id="rId12" Type="http://schemas.openxmlformats.org/officeDocument/2006/relationships/hyperlink" Target="https://octopart.com/click/track?ai=8078&amp;sig=0832ebe&amp;sid=2401&amp;ppid=8409962&amp;vpid=116521266&amp;ct=offers" TargetMode="External"/><Relationship Id="rId13" Type="http://schemas.openxmlformats.org/officeDocument/2006/relationships/hyperlink" Target="https://pdf1.alldatasheet.net/datasheet-pdf/view/1194724/MURATA1/GRM219R60J475ME19D.html" TargetMode="External"/><Relationship Id="rId14" Type="http://schemas.openxmlformats.org/officeDocument/2006/relationships/hyperlink" Target="https://octopart.com/click/track?c=1&amp;ai=8078&amp;sig=0448d51&amp;sid=459&amp;ppid=57368384&amp;vpid=594835747&amp;ct=offers" TargetMode="External"/><Relationship Id="rId15" Type="http://schemas.openxmlformats.org/officeDocument/2006/relationships/hyperlink" Target="https://octopart.com/click/track?ai=8078&amp;sig=0ff56fd&amp;sid=2401&amp;ppid=57368384&amp;vpid=456324983&amp;ct=offers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7" Type="http://schemas.openxmlformats.org/officeDocument/2006/relationships/hyperlink" Target="https://octopart.com/click/track?c=1&amp;ai=8078&amp;sig=05a99a0&amp;sid=459&amp;ppid=8376528&amp;vpid=45699653&amp;ct=offers" TargetMode="External"/><Relationship Id="rId18" Type="http://schemas.openxmlformats.org/officeDocument/2006/relationships/hyperlink" Target="https://octopart.com/click/track?ai=8078&amp;sig=04d68b4&amp;sid=2401&amp;ppid=8376528&amp;vpid=45041096&amp;ct=offers" TargetMode="External"/><Relationship Id="rId19" Type="http://schemas.openxmlformats.org/officeDocument/2006/relationships/hyperlink" Target="https://www.murata.com/-/media/webrenewal/support/library/catalog/products/capacitor/ceramiccapacitor/c02e.ashx?la=en-us&amp;cvid=20210120024548000000" TargetMode="External"/><Relationship Id="rId20" Type="http://schemas.openxmlformats.org/officeDocument/2006/relationships/hyperlink" Target="https://octopart.com/click/track?ai=8078&amp;sig=04d283f&amp;sid=459&amp;ppid=196917&amp;vpid=1738793&amp;ct=offers" TargetMode="External"/><Relationship Id="rId21" Type="http://schemas.openxmlformats.org/officeDocument/2006/relationships/hyperlink" Target="https://octopart.com/click/track?ai=8078&amp;sig=0ad7f33&amp;sid=2401&amp;ppid=196917&amp;vpid=38925197&amp;ct=offers" TargetMode="External"/><Relationship Id="rId22" Type="http://schemas.openxmlformats.org/officeDocument/2006/relationships/hyperlink" Target="https://www.vishay.com/docs/40007/595d.pdf" TargetMode="External"/><Relationship Id="rId23" Type="http://schemas.openxmlformats.org/officeDocument/2006/relationships/hyperlink" Target="https://octopart.com/click/track?ai=8078&amp;sig=0aa0fd2&amp;sid=459&amp;ppid=46536048&amp;vpid=590508583&amp;ct=offers" TargetMode="External"/><Relationship Id="rId24" Type="http://schemas.openxmlformats.org/officeDocument/2006/relationships/hyperlink" Target="https://octopart.com/click/track?ai=8078&amp;sig=062d65c&amp;sid=2401&amp;ppid=46536048&amp;vpid=165591733&amp;ct=offers" TargetMode="External"/><Relationship Id="rId25" Type="http://schemas.openxmlformats.org/officeDocument/2006/relationships/hyperlink" Target="https://www.yageo.com/upload/media/product/productsearch/datasheet/mlcc/UPY-GPHC_X5R_4V-to-50V_26.pdf" TargetMode="External"/><Relationship Id="rId26" Type="http://schemas.openxmlformats.org/officeDocument/2006/relationships/hyperlink" Target="https://octopart.com/click/track?ai=8078&amp;sig=0ce00a4&amp;sid=459&amp;ppid=24490966&amp;vpid=193846694&amp;ct=offers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octopart.com/click/track?ai=8078&amp;sig=0cef1ef&amp;sid=459&amp;ppid=8376530&amp;vpid=45699659&amp;ct=offers" TargetMode="External"/><Relationship Id="rId29" Type="http://schemas.openxmlformats.org/officeDocument/2006/relationships/hyperlink" Target="https://octopart.com/click/track?ai=8078&amp;sig=0137f4b&amp;sid=2401&amp;ppid=8376530&amp;vpid=53545747&amp;ct=offers" TargetMode="External"/><Relationship Id="rId30" Type="http://schemas.openxmlformats.org/officeDocument/2006/relationships/hyperlink" Target="https://www.vishay.com/docs/40007/595d.pdf" TargetMode="External"/><Relationship Id="rId31" Type="http://schemas.openxmlformats.org/officeDocument/2006/relationships/hyperlink" Target="https://octopart.com/click/track?ai=8078&amp;sig=041ead4&amp;sid=459&amp;ppid=39693975&amp;vpid=590508469&amp;ct=offers" TargetMode="External"/><Relationship Id="rId32" Type="http://schemas.openxmlformats.org/officeDocument/2006/relationships/hyperlink" Target="https://octopart.com/click/track?ai=8078&amp;sig=04c309e&amp;sid=2401&amp;ppid=39693975&amp;vpid=114828453&amp;ct=offers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octopart.com/click/track?ai=8078&amp;sig=0249b7d&amp;sid=459&amp;ppid=192941&amp;vpid=115263392&amp;ct=offers" TargetMode="External"/><Relationship Id="rId35" Type="http://schemas.openxmlformats.org/officeDocument/2006/relationships/hyperlink" Target="https://octopart.com/click/track?ai=8078&amp;sig=0aa2562&amp;sid=2401&amp;ppid=192941&amp;vpid=116521269&amp;ct=offers" TargetMode="External"/><Relationship Id="rId36" Type="http://schemas.openxmlformats.org/officeDocument/2006/relationships/hyperlink" Target="https://www.st.com/resource/en/datasheet/esda7p60-1u1m.pdf" TargetMode="External"/><Relationship Id="rId37" Type="http://schemas.openxmlformats.org/officeDocument/2006/relationships/hyperlink" Target="https://octopart.com/click/track?ai=8078&amp;sig=047f44c&amp;sid=459&amp;ppid=52112702&amp;vpid=241696115&amp;ct=offers" TargetMode="External"/><Relationship Id="rId38" Type="http://schemas.openxmlformats.org/officeDocument/2006/relationships/hyperlink" Target="https://octopart.com/click/track?ai=8078&amp;sig=041bd95&amp;sid=2401&amp;ppid=52112702&amp;vpid=242709350&amp;ct=offers" TargetMode="External"/><Relationship Id="rId39" Type="http://schemas.openxmlformats.org/officeDocument/2006/relationships/hyperlink" Target="https://www.we-online.com/katalog/datasheet/156120VS75000.pdf" TargetMode="External"/><Relationship Id="rId40" Type="http://schemas.openxmlformats.org/officeDocument/2006/relationships/hyperlink" Target="https://octopart.com/click/track?ai=8078&amp;sig=0e678b5&amp;sid=459&amp;ppid=29717829&amp;vpid=91297611&amp;ct=offers" TargetMode="External"/><Relationship Id="rId41" Type="http://schemas.openxmlformats.org/officeDocument/2006/relationships/hyperlink" Target="https://octopart.com/click/track?ai=8078&amp;sig=0e956a5&amp;sid=2401&amp;ppid=29717829&amp;vpid=165625673&amp;ct=offers" TargetMode="External"/><Relationship Id="rId42" Type="http://schemas.openxmlformats.org/officeDocument/2006/relationships/hyperlink" Target="https://cdn.amphenol-icc.com/media/wysiwyg/files/drawing/54101.pdf" TargetMode="External"/><Relationship Id="rId43" Type="http://schemas.openxmlformats.org/officeDocument/2006/relationships/hyperlink" Target="https://octopart.com/click/track?c=1&amp;ai=8078&amp;sig=080b2c1&amp;sid=459&amp;ppid=126623144&amp;vpid=800563647&amp;ct=offers" TargetMode="External"/><Relationship Id="rId44" Type="http://schemas.openxmlformats.org/officeDocument/2006/relationships/hyperlink" Target="https://octopart.com/click/track?ai=8078&amp;sig=06f192c&amp;sid=2401&amp;ppid=17353149&amp;vpid=482418437&amp;ct=offers" TargetMode="External"/><Relationship Id="rId45" Type="http://schemas.openxmlformats.org/officeDocument/2006/relationships/hyperlink" Target="https://www.amphenol-icc.com/media/wysiwyg/files/drawing/12401610e4x2a.pdf" TargetMode="External"/><Relationship Id="rId46" Type="http://schemas.openxmlformats.org/officeDocument/2006/relationships/hyperlink" Target="https://octopart.com/click/track?ai=8078&amp;sig=05e77fb&amp;sid=459&amp;ppid=126516878&amp;vpid=799961488&amp;ct=offers" TargetMode="External"/><Relationship Id="rId47" Type="http://schemas.openxmlformats.org/officeDocument/2006/relationships/hyperlink" Target="https://octopart.com/click/track?ai=8078&amp;sig=0ad6d7e&amp;sid=2401&amp;ppid=90335555&amp;vpid=252028416&amp;ct=offers" TargetMode="External"/><Relationship Id="rId48" Type="http://schemas.openxmlformats.org/officeDocument/2006/relationships/hyperlink" Target="https://octopart.com/click/track?ai=8078&amp;sig=0ac11a9&amp;sid=459&amp;ppid=20189011&amp;vpid=88167241&amp;ct=offers" TargetMode="External"/><Relationship Id="rId49" Type="http://schemas.openxmlformats.org/officeDocument/2006/relationships/hyperlink" Target="https://octopart.com/click/track?ai=8078&amp;sig=0ba3f6f&amp;sid=2401&amp;ppid=20189011&amp;vpid=38925665&amp;ct=offers" TargetMode="External"/><Relationship Id="rId50" Type="http://schemas.openxmlformats.org/officeDocument/2006/relationships/hyperlink" Target="https://pdf1.alldatasheet.com/datasheet-pdf/view/588704/TAIYO-YUDEN/FBMJ1608HM180NTR.html" TargetMode="External"/><Relationship Id="rId51" Type="http://schemas.openxmlformats.org/officeDocument/2006/relationships/hyperlink" Target="https://octopart.com/click/track?ai=8078&amp;sig=04f3dda&amp;sid=459&amp;ppid=24634533&amp;vpid=56324965&amp;ct=offers" TargetMode="External"/><Relationship Id="rId52" Type="http://schemas.openxmlformats.org/officeDocument/2006/relationships/hyperlink" Target="https://octopart.com/click/track?ai=8078&amp;sig=04e161d&amp;sid=2401&amp;ppid=24634533&amp;vpid=58991314&amp;ct=offers" TargetMode="External"/><Relationship Id="rId53" Type="http://schemas.openxmlformats.org/officeDocument/2006/relationships/hyperlink" Target="https://www.fair-rite.com/wp-content/themes/fair-rite/print_product.php?pid=19043" TargetMode="External"/><Relationship Id="rId54" Type="http://schemas.openxmlformats.org/officeDocument/2006/relationships/hyperlink" Target="https://octopart.com/click/track?ai=8078&amp;sig=09f596e&amp;sid=459&amp;ppid=755171&amp;vpid=476109877&amp;ct=offers" TargetMode="External"/><Relationship Id="rId55" Type="http://schemas.openxmlformats.org/officeDocument/2006/relationships/hyperlink" Target="https://octopart.com/click/track?ai=8078&amp;sig=016affb&amp;sid=2401&amp;ppid=755171&amp;vpid=37601578&amp;ct=offers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octopart.com/click/track?ai=8078&amp;sig=03bdc7a&amp;sid=459&amp;ppid=40025538&amp;vpid=114982759&amp;ct=offers" TargetMode="External"/><Relationship Id="rId58" Type="http://schemas.openxmlformats.org/officeDocument/2006/relationships/hyperlink" Target="https://octopart.com/click/track?ai=8078&amp;sig=0830c62&amp;sid=2401&amp;ppid=40025538&amp;vpid=115161137&amp;ct=offers" TargetMode="External"/><Relationship Id="rId59" Type="http://schemas.openxmlformats.org/officeDocument/2006/relationships/hyperlink" Target="https://fscdn.rohm.com/en/products/databook/datasheet/passive/resistor/chip_resistor/pmr-jpw-e.pdf" TargetMode="External"/><Relationship Id="rId60" Type="http://schemas.openxmlformats.org/officeDocument/2006/relationships/hyperlink" Target="https://octopart.com/click/track?c=1&amp;ai=8078&amp;sig=03d452d&amp;sid=459&amp;ppid=24783277&amp;vpid=57068186&amp;ct=offers" TargetMode="External"/><Relationship Id="rId61" Type="http://schemas.openxmlformats.org/officeDocument/2006/relationships/hyperlink" Target="https://octopart.com/click/track?ai=8078&amp;sig=02fe0ab&amp;sid=2401&amp;ppid=24783277&amp;vpid=268303042&amp;ct=offers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octopart.com/click/track?ai=8078&amp;sig=0c8a1b0&amp;sid=459&amp;ppid=1199411&amp;vpid=1169555&amp;ct=offers" TargetMode="External"/><Relationship Id="rId64" Type="http://schemas.openxmlformats.org/officeDocument/2006/relationships/hyperlink" Target="https://octopart.com/click/track?ai=8078&amp;sig=00f886a&amp;sid=2401&amp;ppid=1199411&amp;vpid=37949511&amp;ct=offers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octopart.com/click/track?ai=8078&amp;sig=0fe2519&amp;sid=459&amp;ppid=55402882&amp;vpid=188128906&amp;ct=offers" TargetMode="External"/><Relationship Id="rId67" Type="http://schemas.openxmlformats.org/officeDocument/2006/relationships/hyperlink" Target="https://octopart.com/click/track?ai=8078&amp;sig=0fb13ef&amp;sid=2401&amp;ppid=55402882&amp;vpid=187885225&amp;ct=offers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octopart.com/click/track?ai=8078&amp;sig=0a5884d&amp;sid=459&amp;ppid=40946050&amp;vpid=114982939&amp;ct=offers" TargetMode="External"/><Relationship Id="rId70" Type="http://schemas.openxmlformats.org/officeDocument/2006/relationships/hyperlink" Target="https://octopart.com/click/track?ai=8078&amp;sig=05018a2&amp;sid=2401&amp;ppid=40946050&amp;vpid=115540566&amp;ct=offers" TargetMode="External"/><Relationship Id="rId71" Type="http://schemas.openxmlformats.org/officeDocument/2006/relationships/hyperlink" Target="https://www.nidec-copal-electronics.com/e/catalog/switch/cas.pdf" TargetMode="External"/><Relationship Id="rId72" Type="http://schemas.openxmlformats.org/officeDocument/2006/relationships/hyperlink" Target="https://octopart.com/click/track?ai=8078&amp;sig=07acfd0&amp;sid=459&amp;ppid=77011233&amp;vpid=449412865&amp;ct=offers" TargetMode="External"/><Relationship Id="rId73" Type="http://schemas.openxmlformats.org/officeDocument/2006/relationships/hyperlink" Target="https://octopart.com/click/track?ai=8078&amp;sig=09891d6&amp;sid=2401&amp;ppid=77011233&amp;vpid=654689463&amp;ct=offers" TargetMode="External"/><Relationship Id="rId74" Type="http://schemas.openxmlformats.org/officeDocument/2006/relationships/hyperlink" Target="https://www.we-online.com/katalog/datasheet/4304x1xxx8x6.pdf" TargetMode="External"/><Relationship Id="rId75" Type="http://schemas.openxmlformats.org/officeDocument/2006/relationships/hyperlink" Target="https://octopart.com/click/track?ai=8078&amp;sig=05fd258&amp;sid=459&amp;ppid=23272331&amp;vpid=196844858&amp;ct=offers" TargetMode="External"/><Relationship Id="rId76" Type="http://schemas.openxmlformats.org/officeDocument/2006/relationships/hyperlink" Target="https://octopart.com/click/track?ai=8078&amp;sig=0d9bf0c&amp;sid=2401&amp;ppid=23272331&amp;vpid=579821706&amp;ct=offers" TargetMode="External"/><Relationship Id="rId77" Type="http://schemas.openxmlformats.org/officeDocument/2006/relationships/hyperlink" Target="https://www.st.com/resource/en/datasheet/stm32h745bi.pdf" TargetMode="External"/><Relationship Id="rId78" Type="http://schemas.openxmlformats.org/officeDocument/2006/relationships/hyperlink" Target="https://octopart.com/click/track?c=1&amp;ai=8078&amp;sig=03f80ac&amp;sid=459&amp;ppid=100293935&amp;vpid=579054823&amp;ct=offers" TargetMode="External"/><Relationship Id="rId79" Type="http://schemas.openxmlformats.org/officeDocument/2006/relationships/hyperlink" Target="https://octopart.com/click/track?c=1&amp;ai=8078&amp;sig=09918fe&amp;sid=2401&amp;ppid=100293935&amp;vpid=578768842&amp;ct=offers" TargetMode="External"/><Relationship Id="rId80" Type="http://schemas.openxmlformats.org/officeDocument/2006/relationships/hyperlink" Target="https://www.st.com/resource/en/datasheet/st1l05.pdf" TargetMode="External"/><Relationship Id="rId81" Type="http://schemas.openxmlformats.org/officeDocument/2006/relationships/hyperlink" Target="https://octopart.com/click/track?c=1&amp;ai=8078&amp;sig=0d5e565&amp;sid=459&amp;ppid=12110757&amp;vpid=33595897&amp;ct=offers" TargetMode="External"/><Relationship Id="rId82" Type="http://schemas.openxmlformats.org/officeDocument/2006/relationships/hyperlink" Target="https://octopart.com/click/track?c=1&amp;ai=8078&amp;sig=017a5bd&amp;sid=2401&amp;ppid=12110757&amp;vpid=175208370&amp;ct=offers" TargetMode="External"/><Relationship Id="rId83" Type="http://schemas.openxmlformats.org/officeDocument/2006/relationships/hyperlink" Target="http://www.st.com/st-web-ui/static/active/en/resource/technical/document/datasheet/CD00000544.pdf" TargetMode="External"/><Relationship Id="rId84" Type="http://schemas.openxmlformats.org/officeDocument/2006/relationships/hyperlink" Target="https://octopart.com/click/track?c=1&amp;ai=8078&amp;sig=045c197&amp;sid=459&amp;ppid=39586020&amp;vpid=115962780&amp;ct=offers" TargetMode="External"/><Relationship Id="rId85" Type="http://schemas.openxmlformats.org/officeDocument/2006/relationships/hyperlink" Target="https://octopart.com/click/track?c=1&amp;ai=8078&amp;sig=042b5e2&amp;sid=2401&amp;ppid=39586020&amp;vpid=121771899&amp;ct=offers" TargetMode="External"/><Relationship Id="rId86" Type="http://schemas.openxmlformats.org/officeDocument/2006/relationships/hyperlink" Target="https://www.issi.com/WW/pdf/42-45S32800J.pdf" TargetMode="External"/><Relationship Id="rId87" Type="http://schemas.openxmlformats.org/officeDocument/2006/relationships/hyperlink" Target="https://octopart.com/click/track?c=1&amp;ai=8078&amp;sig=0b718a6&amp;sid=459&amp;ppid=55822304&amp;vpid=213555423&amp;ct=offers" TargetMode="External"/><Relationship Id="rId88" Type="http://schemas.openxmlformats.org/officeDocument/2006/relationships/hyperlink" Target="https://octopart.com/click/track?ai=8078&amp;sig=0838fc7&amp;sid=2401&amp;ppid=55822304&amp;vpid=244842057&amp;ct=offers" TargetMode="External"/><Relationship Id="rId89" Type="http://schemas.openxmlformats.org/officeDocument/2006/relationships/hyperlink" Target="https://media-www.micron.com/-/media/client/global/documents/products/data-sheet/nor-flash/serial-nor/mt25q/die-rev-b/mt25q_qlkt_l_512_abb_0.pdf" TargetMode="External"/><Relationship Id="rId90" Type="http://schemas.openxmlformats.org/officeDocument/2006/relationships/hyperlink" Target="https://octopart.com/click/track?c=1&amp;ai=8078&amp;sig=0ae9d3b&amp;sid=459&amp;ppid=61741056&amp;vpid=448808249&amp;ct=offers" TargetMode="External"/><Relationship Id="rId91" Type="http://schemas.openxmlformats.org/officeDocument/2006/relationships/hyperlink" Target="https://octopart.com/click/track?ai=8078&amp;sig=0b9f8d9&amp;sid=2401&amp;ppid=61741056&amp;vpid=493654095&amp;ct=offers" TargetMode="External"/><Relationship Id="rId92" Type="http://schemas.openxmlformats.org/officeDocument/2006/relationships/hyperlink" Target="https://ar.mouser.com/datasheet/2/137/SG_210STF_en-1003240.pdf" TargetMode="External"/><Relationship Id="rId93" Type="http://schemas.openxmlformats.org/officeDocument/2006/relationships/hyperlink" Target="https://octopart.com/click/track?c=1&amp;ai=8078&amp;sig=091fbac&amp;sid=2401&amp;ppid=102588599&amp;vpid=789409796&amp;ct=offers" TargetMode="External"/><Relationship Id="rId94" Type="http://schemas.openxmlformats.org/officeDocument/2006/relationships/hyperlink" Target="https://ecsxtal.com/store/pdf/ECX_34R.pdf" TargetMode="External"/><Relationship Id="rId95" Type="http://schemas.openxmlformats.org/officeDocument/2006/relationships/hyperlink" Target="https://octopart.com/click/track?ai=8078&amp;sig=04fbcbf&amp;sid=459&amp;ppid=102218704&amp;vpid=551008241&amp;ct=offers" TargetMode="External"/><Relationship Id="rId96" Type="http://schemas.openxmlformats.org/officeDocument/2006/relationships/hyperlink" Target="https://octopart.com/click/track?ai=8078&amp;sig=00b7a5f&amp;sid=2401&amp;ppid=102218704&amp;vpid=550978846&amp;ct=offers" TargetMode="External"/><Relationship Id="rId97" Type="http://schemas.openxmlformats.org/officeDocument/2006/relationships/hyperlink" Target="https://www.digikey.com/ordering/shoppingcart" TargetMode="External"/><Relationship Id="rId98" Type="http://schemas.openxmlformats.org/officeDocument/2006/relationships/hyperlink" Target="https://mouser.com/bom/" TargetMode="External"/><Relationship Id="rId99" Type="http://schemas.openxmlformats.org/officeDocument/2006/relationships/vmlDrawing" Target="../drawings/vmlDrawing1.vml"/><Relationship Id="rId10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3"/>
  <cols>
    <col min="1" max="1" width="33.7109375" customWidth="1"/>
    <col min="2" max="2" width="24.7109375" customWidth="1"/>
    <col min="3" max="3" width="33.7109375" customWidth="1" outlineLevel="2"/>
    <col min="4" max="4" width="25.7109375" customWidth="1" outlineLevel="1"/>
    <col min="5" max="5" width="22.7109375" customWidth="1" outlineLevel="1"/>
    <col min="6" max="6" width="9.140625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8.7109375" customWidth="1" outlineLevel="2"/>
    <col min="15" max="15" width="9.7109375" customWidth="1" outlineLevel="1"/>
    <col min="16" max="16" width="9.140625" outlineLevel="2"/>
    <col min="17" max="17" width="10.7109375" customWidth="1" outlineLevel="2"/>
    <col min="18" max="18" width="0" hidden="1" customWidth="1" outlineLevel="3" collapsed="1"/>
    <col min="19" max="19" width="16.7109375" customWidth="1"/>
    <col min="20" max="20" width="20.7109375" customWidth="1" outlineLevel="2"/>
  </cols>
  <sheetData>
    <row r="1" spans="1:20">
      <c r="A1" s="1" t="s">
        <v>201</v>
      </c>
      <c r="B1" s="2" t="s">
        <v>202</v>
      </c>
      <c r="G1" s="3" t="s">
        <v>207</v>
      </c>
      <c r="H1" s="3">
        <v>100</v>
      </c>
    </row>
    <row r="2" spans="1:20">
      <c r="A2" s="1" t="s">
        <v>203</v>
      </c>
      <c r="B2" s="2" t="s">
        <v>204</v>
      </c>
      <c r="G2" s="1" t="s">
        <v>209</v>
      </c>
      <c r="H2" s="4">
        <f>TotalCost/BoardQty</f>
        <v>62.1924</v>
      </c>
    </row>
    <row r="3" spans="1:20">
      <c r="A3" s="1" t="s">
        <v>205</v>
      </c>
      <c r="B3" s="2" t="s">
        <v>206</v>
      </c>
      <c r="G3" s="1" t="s">
        <v>208</v>
      </c>
      <c r="H3" s="5">
        <f>SUM(H7:H41)</f>
        <v>6219.24</v>
      </c>
      <c r="M3" s="5">
        <f>SUM(M7:M41)</f>
        <v>5498.355</v>
      </c>
      <c r="N3" s="6" t="str">
        <f>(COUNTA(M7:M41)&amp;" of "&amp;ROWS(M7:M41)&amp;" parts found")</f>
        <v>32 of 35 parts found</v>
      </c>
      <c r="S3" s="5">
        <f>SUM(S7:S41)</f>
        <v>6239.2</v>
      </c>
      <c r="T3" s="6" t="str">
        <f>(COUNTA(S7:S41)&amp;" of "&amp;ROWS(S7:S41)&amp;" parts found")</f>
        <v>32 of 35 parts found</v>
      </c>
    </row>
    <row r="4" spans="1:20">
      <c r="A4" s="1" t="s">
        <v>210</v>
      </c>
      <c r="B4" s="2" t="s">
        <v>211</v>
      </c>
    </row>
    <row r="5" spans="1:20">
      <c r="A5" s="7" t="s">
        <v>0</v>
      </c>
      <c r="B5" s="7"/>
      <c r="C5" s="7"/>
      <c r="D5" s="7"/>
      <c r="E5" s="7"/>
      <c r="F5" s="7"/>
      <c r="G5" s="7"/>
      <c r="H5" s="7"/>
      <c r="I5" s="8" t="s">
        <v>129</v>
      </c>
      <c r="J5" s="8"/>
      <c r="K5" s="8"/>
      <c r="L5" s="8"/>
      <c r="M5" s="8"/>
      <c r="N5" s="8"/>
      <c r="O5" s="9" t="s">
        <v>167</v>
      </c>
      <c r="P5" s="9"/>
      <c r="Q5" s="9"/>
      <c r="R5" s="9"/>
      <c r="S5" s="9"/>
      <c r="T5" s="9"/>
    </row>
    <row r="6" spans="1:20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130</v>
      </c>
      <c r="J6" s="10" t="s">
        <v>131</v>
      </c>
      <c r="K6" s="10" t="s">
        <v>7</v>
      </c>
      <c r="L6" s="10" t="s">
        <v>132</v>
      </c>
      <c r="M6" s="10" t="s">
        <v>8</v>
      </c>
      <c r="N6" s="10" t="s">
        <v>133</v>
      </c>
      <c r="O6" s="10" t="s">
        <v>130</v>
      </c>
      <c r="P6" s="10" t="s">
        <v>131</v>
      </c>
      <c r="Q6" s="10" t="s">
        <v>7</v>
      </c>
      <c r="R6" s="10" t="s">
        <v>132</v>
      </c>
      <c r="S6" s="10" t="s">
        <v>8</v>
      </c>
      <c r="T6" s="10" t="s">
        <v>133</v>
      </c>
    </row>
    <row r="7" spans="1:20" ht="30" customHeight="1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>
        <f>CEILING(BoardQty*35.0,1)</f>
        <v>3500</v>
      </c>
      <c r="G7" s="12">
        <f>IF(MIN(K7,Q7)&lt;&gt;0,MIN(K7,Q7),"")</f>
        <v>0.01192</v>
      </c>
      <c r="H7" s="13">
        <f>IF(AND(ISNUMBER(F7),ISNUMBER(G7)),F7*G7,"")</f>
        <v>41.72</v>
      </c>
      <c r="I7" s="11">
        <v>17994024</v>
      </c>
      <c r="J7" s="11"/>
      <c r="K7" s="12">
        <f>IFERROR(IF(OR(J7&gt;=L7,F7&gt;=L7),LOOKUP(IF(J7="",F7,J7),{0,1,10,50,100,500,1000,4000,8000,12000,40000},{0.0,0.1,0.048,0.026,0.0212,0.01516,0.01192,0.00997,0.0091,0.00867,0.00823}),"MOQ="&amp;L7),"")</f>
        <v>0.01192</v>
      </c>
      <c r="L7" s="11">
        <v>1</v>
      </c>
      <c r="M7" s="13">
        <f>IFERROR(IF(J7="",F7,J7)*K7,"")</f>
        <v>41.72</v>
      </c>
      <c r="N7" s="11" t="s">
        <v>134</v>
      </c>
      <c r="O7" s="11">
        <v>1282095</v>
      </c>
      <c r="P7" s="11"/>
      <c r="Q7" s="12">
        <f>IFERROR(IF(OR(P7&gt;=R7,F7&gt;=R7),LOOKUP(IF(P7="",F7,P7),{0,1,10,50,100,1000,10000},{0.0,0.1,0.048,0.048,0.022,0.013,0.008}),"MOQ="&amp;R7),"")</f>
        <v>0.013</v>
      </c>
      <c r="R7" s="11">
        <v>1</v>
      </c>
      <c r="S7" s="13">
        <f>IFERROR(IF(P7="",F7,P7)*Q7,"")</f>
        <v>45.5</v>
      </c>
      <c r="T7" s="11" t="s">
        <v>168</v>
      </c>
    </row>
    <row r="8" spans="1:20" ht="30" customHeight="1">
      <c r="A8" s="11" t="s">
        <v>14</v>
      </c>
      <c r="B8" s="11" t="s">
        <v>15</v>
      </c>
      <c r="C8" s="11" t="s">
        <v>11</v>
      </c>
      <c r="D8" s="11" t="s">
        <v>12</v>
      </c>
      <c r="E8" s="11" t="s">
        <v>16</v>
      </c>
      <c r="F8" s="11">
        <f>CEILING(BoardQty*2.0,1)</f>
        <v>200</v>
      </c>
      <c r="G8" s="12">
        <f>IF(MIN(K8,Q8)&lt;&gt;0,MIN(K8,Q8),"")</f>
        <v>0.0236</v>
      </c>
      <c r="H8" s="13">
        <f>IF(AND(ISNUMBER(F8),ISNUMBER(G8)),F8*G8,"")</f>
        <v>4.72</v>
      </c>
      <c r="I8" s="11">
        <v>2397</v>
      </c>
      <c r="J8" s="11"/>
      <c r="K8" s="12">
        <f>IFERROR(IF(OR(J8&gt;=L8,F8&gt;=L8),LOOKUP(IF(J8="",F8,J8),{0,1,10,50,100,500,1000,4000,8000,12000,40000},{0.0,0.1,0.053,0.029,0.0236,0.01686,0.01325,0.01108,0.01012,0.00964,0.00915}),"MOQ="&amp;L8),"")</f>
        <v>0.0236</v>
      </c>
      <c r="L8" s="11">
        <v>1</v>
      </c>
      <c r="M8" s="13">
        <f>IFERROR(IF(J8="",F8,J8)*K8,"")</f>
        <v>4.72</v>
      </c>
      <c r="N8" s="11" t="s">
        <v>135</v>
      </c>
      <c r="O8" s="11">
        <v>12839</v>
      </c>
      <c r="P8" s="11"/>
      <c r="Q8" s="12">
        <f>IFERROR(IF(OR(P8&gt;=R8,F8&gt;=R8),LOOKUP(IF(P8="",F8,P8),{0,1,10,50,100,1000,10000},{0.0,0.1,0.057,0.057,0.025,0.014,0.01}),"MOQ="&amp;R8),"")</f>
        <v>0.025</v>
      </c>
      <c r="R8" s="11">
        <v>1</v>
      </c>
      <c r="S8" s="13">
        <f>IFERROR(IF(P8="",F8,P8)*Q8,"")</f>
        <v>5.0</v>
      </c>
      <c r="T8" s="11" t="s">
        <v>169</v>
      </c>
    </row>
    <row r="9" spans="1:20" ht="30" customHeight="1">
      <c r="A9" s="11" t="s">
        <v>17</v>
      </c>
      <c r="B9" s="11" t="s">
        <v>18</v>
      </c>
      <c r="C9" s="11" t="s">
        <v>11</v>
      </c>
      <c r="D9" s="11" t="s">
        <v>19</v>
      </c>
      <c r="E9" s="11" t="s">
        <v>20</v>
      </c>
      <c r="F9" s="11">
        <f>CEILING(BoardQty*1.0,1)</f>
        <v>100</v>
      </c>
      <c r="G9" s="12">
        <f>IF(MIN(K9,Q9)&lt;&gt;0,MIN(K9,Q9),"")</f>
        <v>0.071</v>
      </c>
      <c r="H9" s="13">
        <f>IF(AND(ISNUMBER(F9),ISNUMBER(G9)),F9*G9,"")</f>
        <v>7.1</v>
      </c>
      <c r="I9" s="11">
        <v>1380019</v>
      </c>
      <c r="J9" s="11"/>
      <c r="K9" s="12">
        <f>IFERROR(IF(OR(J9&gt;=L9,F9&gt;=L9),LOOKUP(IF(J9="",F9,J9),{0,1,10,50,100,500,1000,4000,8000,12000,28000,100000},{0.0,0.21,0.14,0.0842,0.071,0.0486,0.04298,0.03738,0.03551,0.03364,0.03177,0.02523}),"MOQ="&amp;L9),"")</f>
        <v>0.071</v>
      </c>
      <c r="L9" s="11">
        <v>1</v>
      </c>
      <c r="M9" s="13">
        <f>IFERROR(IF(J9="",F9,J9)*K9,"")</f>
        <v>7.1</v>
      </c>
      <c r="N9" s="11" t="s">
        <v>136</v>
      </c>
      <c r="O9" s="11">
        <v>654118</v>
      </c>
      <c r="P9" s="11"/>
      <c r="Q9" s="12">
        <f>IFERROR(IF(OR(P9&gt;=R9,F9&gt;=R9),LOOKUP(IF(P9="",F9,P9),{0,1,10,50,100,1000,10000},{0.0,0.21,0.146,0.146,0.074,0.045,0.036}),"MOQ="&amp;R9),"")</f>
        <v>0.074</v>
      </c>
      <c r="R9" s="11">
        <v>1</v>
      </c>
      <c r="S9" s="13">
        <f>IFERROR(IF(P9="",F9,P9)*Q9,"")</f>
        <v>7.4</v>
      </c>
      <c r="T9" s="11" t="s">
        <v>170</v>
      </c>
    </row>
    <row r="10" spans="1:20" ht="30" customHeight="1">
      <c r="A10" s="11" t="s">
        <v>21</v>
      </c>
      <c r="B10" s="11" t="s">
        <v>22</v>
      </c>
      <c r="C10" s="11" t="s">
        <v>11</v>
      </c>
      <c r="D10" s="11" t="s">
        <v>12</v>
      </c>
      <c r="E10" s="11" t="s">
        <v>23</v>
      </c>
      <c r="F10" s="11">
        <f>CEILING(BoardQty*1.0,1)</f>
        <v>100</v>
      </c>
      <c r="G10" s="12">
        <f>IF(MIN(K10,Q10)&lt;&gt;0,MIN(K10,Q10),"")</f>
        <v>0.0265</v>
      </c>
      <c r="H10" s="13">
        <f>IF(AND(ISNUMBER(F10),ISNUMBER(G10)),F10*G10,"")</f>
        <v>2.65</v>
      </c>
      <c r="I10" s="11">
        <v>546695</v>
      </c>
      <c r="J10" s="11"/>
      <c r="K10" s="12">
        <f>IFERROR(IF(OR(J10&gt;=L10,F10&gt;=L10),LOOKUP(IF(J10="",F10,J10),{0,1,10,50,100,500,1000,4000,8000,12000,40000},{0.0,0.1,0.06,0.0324,0.0265,0.01894,0.01488,0.01245,0.01137,0.01082,0.01028}),"MOQ="&amp;L10),"")</f>
        <v>0.0265</v>
      </c>
      <c r="L10" s="11">
        <v>1</v>
      </c>
      <c r="M10" s="13">
        <f>IFERROR(IF(J10="",F10,J10)*K10,"")</f>
        <v>2.65</v>
      </c>
      <c r="N10" s="11" t="s">
        <v>137</v>
      </c>
      <c r="O10" s="11">
        <v>122217</v>
      </c>
      <c r="P10" s="11"/>
      <c r="Q10" s="12">
        <f>IFERROR(IF(OR(P10&gt;=R10,F10&gt;=R10),LOOKUP(IF(P10="",F10,P10),{0,1,10,50,100,1000,10000},{0.0,0.1,0.064,0.064,0.029,0.016,0.011}),"MOQ="&amp;R10),"")</f>
        <v>0.029</v>
      </c>
      <c r="R10" s="11">
        <v>1</v>
      </c>
      <c r="S10" s="13">
        <f>IFERROR(IF(P10="",F10,P10)*Q10,"")</f>
        <v>2.9</v>
      </c>
      <c r="T10" s="11" t="s">
        <v>171</v>
      </c>
    </row>
    <row r="11" spans="1:20" ht="30" customHeight="1">
      <c r="A11" s="11" t="s">
        <v>24</v>
      </c>
      <c r="B11" s="11" t="s">
        <v>25</v>
      </c>
      <c r="C11" s="11" t="s">
        <v>26</v>
      </c>
      <c r="D11" s="11" t="s">
        <v>19</v>
      </c>
      <c r="E11" s="11" t="s">
        <v>27</v>
      </c>
      <c r="F11" s="11">
        <f>CEILING(BoardQty*3.0,1)</f>
        <v>300</v>
      </c>
      <c r="G11" s="12">
        <f>IF(MIN(K11,Q11)&lt;&gt;0,MIN(K11,Q11),"")</f>
        <v>0.106</v>
      </c>
      <c r="H11" s="13">
        <f>IF(AND(ISNUMBER(F11),ISNUMBER(G11)),F11*G11,"")</f>
        <v>31.8</v>
      </c>
      <c r="I11" s="14" t="s">
        <v>139</v>
      </c>
      <c r="J11" s="11"/>
      <c r="K11" s="12">
        <f>IFERROR(IF(OR(J11&gt;=L11,F11&gt;=L11),LOOKUP(IF(J11="",F11,J11),{0,1,4000},{0.0,0.05412,0.05412}),"MOQ="&amp;L11),"")</f>
        <v/>
      </c>
      <c r="L11" s="11">
        <v>4000</v>
      </c>
      <c r="M11" s="13">
        <f>IFERROR(IF(J11="",F11,J11)*K11,"")</f>
        <v/>
      </c>
      <c r="N11" s="11" t="s">
        <v>138</v>
      </c>
      <c r="O11" s="11">
        <v>2893</v>
      </c>
      <c r="P11" s="11"/>
      <c r="Q11" s="12">
        <f>IFERROR(IF(OR(P11&gt;=R11,F11&gt;=R11),LOOKUP(IF(P11="",F11,P11),{0,1,10,50,100,1000,10000},{0.0,0.27,0.186,0.186,0.106,0.065,0.049}),"MOQ="&amp;R11),"")</f>
        <v>0.106</v>
      </c>
      <c r="R11" s="11">
        <v>1</v>
      </c>
      <c r="S11" s="13">
        <f>IFERROR(IF(P11="",F11,P11)*Q11,"")</f>
        <v>31.8</v>
      </c>
      <c r="T11" s="11" t="s">
        <v>172</v>
      </c>
    </row>
    <row r="12" spans="1:20" ht="30" customHeight="1">
      <c r="A12" s="11" t="s">
        <v>28</v>
      </c>
      <c r="B12" s="11" t="s">
        <v>29</v>
      </c>
      <c r="C12" s="11" t="s">
        <v>11</v>
      </c>
      <c r="D12" s="11" t="s">
        <v>12</v>
      </c>
      <c r="E12" s="11" t="s">
        <v>30</v>
      </c>
      <c r="F12" s="11">
        <f>CEILING(BoardQty*2.0,1)</f>
        <v>200</v>
      </c>
      <c r="G12" s="12">
        <f>IF(MIN(K12,Q12)&lt;&gt;0,MIN(K12,Q12),"")</f>
        <v>0.0658</v>
      </c>
      <c r="H12" s="13">
        <f>IF(AND(ISNUMBER(F12),ISNUMBER(G12)),F12*G12,"")</f>
        <v>13.16</v>
      </c>
      <c r="I12" s="14" t="s">
        <v>139</v>
      </c>
      <c r="J12" s="11"/>
      <c r="K12" s="12">
        <f>IFERROR(IF(OR(J12&gt;=L12,F12&gt;=L12),LOOKUP(IF(J12="",F12,J12),{0,1,10,50,100,500,1000,4000,8000,12000,28000,100000},{0.0,0.2,0.14,0.0794,0.0658,0.04614,0.03819,0.03252,0.03025,0.02874,0.02723,0.02062}),"MOQ="&amp;L12),"")</f>
        <v>0.0658</v>
      </c>
      <c r="L12" s="11">
        <v>1</v>
      </c>
      <c r="M12" s="13">
        <f>IFERROR(IF(J12="",F12,J12)*K12,"")</f>
        <v>13.16</v>
      </c>
      <c r="N12" s="11" t="s">
        <v>140</v>
      </c>
      <c r="O12" s="11">
        <v>55031</v>
      </c>
      <c r="P12" s="11"/>
      <c r="Q12" s="12">
        <f>IFERROR(IF(OR(P12&gt;=R12,F12&gt;=R12),LOOKUP(IF(P12="",F12,P12),{0,1,10,50,100,1000,10000},{0.0,0.22,0.146,0.146,0.074,0.047,0.039}),"MOQ="&amp;R12),"")</f>
        <v>0.074</v>
      </c>
      <c r="R12" s="11">
        <v>1</v>
      </c>
      <c r="S12" s="13">
        <f>IFERROR(IF(P12="",F12,P12)*Q12,"")</f>
        <v>14.8</v>
      </c>
      <c r="T12" s="11" t="s">
        <v>173</v>
      </c>
    </row>
    <row r="13" spans="1:20" ht="30" customHeight="1">
      <c r="A13" s="11" t="s">
        <v>31</v>
      </c>
      <c r="B13" s="11" t="s">
        <v>18</v>
      </c>
      <c r="C13" s="11" t="s">
        <v>11</v>
      </c>
      <c r="D13" s="11" t="s">
        <v>19</v>
      </c>
      <c r="E13" s="11" t="s">
        <v>32</v>
      </c>
      <c r="F13" s="11">
        <f>CEILING(BoardQty*1.0,1)</f>
        <v>100</v>
      </c>
      <c r="G13" s="12">
        <f>IF(MIN(K13,Q13)&lt;&gt;0,MIN(K13,Q13),"")</f>
        <v>0.079</v>
      </c>
      <c r="H13" s="13">
        <f>IF(AND(ISNUMBER(F13),ISNUMBER(G13)),F13*G13,"")</f>
        <v>7.9</v>
      </c>
      <c r="I13" s="11">
        <v>893571</v>
      </c>
      <c r="J13" s="11"/>
      <c r="K13" s="12">
        <f>IFERROR(IF(OR(J13&gt;=L13,F13&gt;=L13),LOOKUP(IF(J13="",F13,J13),{0,1,10,50,100,500,1000,4000,8000,12000,28000,100000},{0.0,0.36,0.248,0.1736,0.1488,0.11162,0.09426,0.08434,0.07938,0.0769,0.07442,0.06449}),"MOQ="&amp;L13),"")</f>
        <v>0.1488</v>
      </c>
      <c r="L13" s="11">
        <v>1</v>
      </c>
      <c r="M13" s="13">
        <f>IFERROR(IF(J13="",F13,J13)*K13,"")</f>
        <v>14.88</v>
      </c>
      <c r="N13" s="11" t="s">
        <v>141</v>
      </c>
      <c r="O13" s="11">
        <v>52830</v>
      </c>
      <c r="P13" s="11"/>
      <c r="Q13" s="12">
        <f>IFERROR(IF(OR(P13&gt;=R13,F13&gt;=R13),LOOKUP(IF(P13="",F13,P13),{0,1,10,50,100,1000,10000},{0.0,0.16,0.108,0.108,0.079,0.079,0.075}),"MOQ="&amp;R13),"")</f>
        <v>0.079</v>
      </c>
      <c r="R13" s="11">
        <v>1</v>
      </c>
      <c r="S13" s="13">
        <f>IFERROR(IF(P13="",F13,P13)*Q13,"")</f>
        <v>7.9</v>
      </c>
      <c r="T13" s="11" t="s">
        <v>174</v>
      </c>
    </row>
    <row r="14" spans="1:20">
      <c r="A14" s="11" t="s">
        <v>33</v>
      </c>
      <c r="B14" s="11" t="s">
        <v>25</v>
      </c>
      <c r="C14" s="11" t="s">
        <v>34</v>
      </c>
      <c r="D14" s="11" t="s">
        <v>35</v>
      </c>
      <c r="E14" s="11" t="s">
        <v>34</v>
      </c>
      <c r="F14" s="11">
        <f>CEILING(BoardQty*2.0,1)</f>
        <v>200</v>
      </c>
      <c r="G14" s="12">
        <f>IF(MIN(K14,Q14)&lt;&gt;0,MIN(K14,Q14),"")</f>
        <v>1.1644</v>
      </c>
      <c r="H14" s="13">
        <f>IF(AND(ISNUMBER(F14),ISNUMBER(G14)),F14*G14,"")</f>
        <v>232.88</v>
      </c>
      <c r="I14" s="11">
        <v>4969</v>
      </c>
      <c r="J14" s="11"/>
      <c r="K14" s="12">
        <f>IFERROR(IF(OR(J14&gt;=L14,F14&gt;=L14),LOOKUP(IF(J14="",F14,J14),{0,1,10,50,100,500,1000,2000},{0.0,1.97,1.552,1.3456,1.1644,0.87976,0.77625,0.7245}),"MOQ="&amp;L14),"")</f>
        <v>1.1644</v>
      </c>
      <c r="L14" s="11">
        <v>1</v>
      </c>
      <c r="M14" s="13">
        <f>IFERROR(IF(J14="",F14,J14)*K14,"")</f>
        <v>232.88</v>
      </c>
      <c r="N14" s="11" t="s">
        <v>142</v>
      </c>
      <c r="O14" s="11">
        <v>3129</v>
      </c>
      <c r="P14" s="11"/>
      <c r="Q14" s="12">
        <f>IFERROR(IF(OR(P14&gt;=R14,F14&gt;=R14),LOOKUP(IF(P14="",F14,P14),{0,1,10,50,100,1000,10000},{0.0,1.97,1.56,1.35,1.17,0.777,0.777}),"MOQ="&amp;R14),"")</f>
        <v>1.17</v>
      </c>
      <c r="R14" s="11">
        <v>1</v>
      </c>
      <c r="S14" s="13">
        <f>IFERROR(IF(P14="",F14,P14)*Q14,"")</f>
        <v>234.0</v>
      </c>
      <c r="T14" s="11" t="s">
        <v>175</v>
      </c>
    </row>
    <row r="15" spans="1:20" ht="30" customHeight="1">
      <c r="A15" s="11" t="s">
        <v>36</v>
      </c>
      <c r="B15" s="11" t="s">
        <v>18</v>
      </c>
      <c r="C15" s="11" t="s">
        <v>26</v>
      </c>
      <c r="D15" s="11" t="s">
        <v>12</v>
      </c>
      <c r="E15" s="11" t="s">
        <v>37</v>
      </c>
      <c r="F15" s="11">
        <f>CEILING(BoardQty*3.0,1)</f>
        <v>300</v>
      </c>
      <c r="G15" s="12">
        <f>IF(MIN(K15,Q15)&lt;&gt;0,MIN(K15,Q15),"")</f>
        <v>0.1457</v>
      </c>
      <c r="H15" s="13">
        <f>IF(AND(ISNUMBER(F15),ISNUMBER(G15)),F15*G15,"")</f>
        <v>43.71</v>
      </c>
      <c r="I15" s="11">
        <v>343679</v>
      </c>
      <c r="J15" s="11"/>
      <c r="K15" s="12">
        <f>IFERROR(IF(OR(J15&gt;=L15,F15&gt;=L15),LOOKUP(IF(J15="",F15,J15),{0,1,10,50,100,500,1000,3000,6000,9000,15000,30000,75000},{0.0,0.35,0.243,0.17,0.1457,0.1093,0.09229,0.08744,0.08258,0.07772,0.07529,0.07286,0.06801}),"MOQ="&amp;L15),"")</f>
        <v>0.1457</v>
      </c>
      <c r="L15" s="11">
        <v>1</v>
      </c>
      <c r="M15" s="13">
        <f>IFERROR(IF(J15="",F15,J15)*K15,"")</f>
        <v>43.71</v>
      </c>
      <c r="N15" s="11" t="s">
        <v>143</v>
      </c>
    </row>
    <row r="16" spans="1:20" ht="30" customHeight="1">
      <c r="A16" s="11" t="s">
        <v>38</v>
      </c>
      <c r="B16" s="11" t="s">
        <v>39</v>
      </c>
      <c r="C16" s="11" t="s">
        <v>11</v>
      </c>
      <c r="D16" s="11" t="s">
        <v>12</v>
      </c>
      <c r="E16" s="11" t="s">
        <v>40</v>
      </c>
      <c r="F16" s="11">
        <f>CEILING(BoardQty*1.0,1)</f>
        <v>100</v>
      </c>
      <c r="G16" s="12">
        <f>IF(MIN(K16,Q16)&lt;&gt;0,MIN(K16,Q16),"")</f>
        <v>0.0362</v>
      </c>
      <c r="H16" s="13">
        <f>IF(AND(ISNUMBER(F16),ISNUMBER(G16)),F16*G16,"")</f>
        <v>3.62</v>
      </c>
      <c r="I16" s="11">
        <v>497732</v>
      </c>
      <c r="J16" s="11"/>
      <c r="K16" s="12">
        <f>IFERROR(IF(OR(J16&gt;=L16,F16&gt;=L16),LOOKUP(IF(J16="",F16,J16),{0,1,10,50,100,500,1000,4000,8000,12000,28000,100000},{0.0,0.11,0.077,0.0438,0.0362,0.0254,0.02103,0.0179,0.01665,0.01582,0.01499,0.01135}),"MOQ="&amp;L16),"")</f>
        <v>0.0362</v>
      </c>
      <c r="L16" s="11">
        <v>1</v>
      </c>
      <c r="M16" s="13">
        <f>IFERROR(IF(J16="",F16,J16)*K16,"")</f>
        <v>3.62</v>
      </c>
      <c r="N16" s="11" t="s">
        <v>144</v>
      </c>
      <c r="O16" s="11">
        <v>168247</v>
      </c>
      <c r="P16" s="11"/>
      <c r="Q16" s="12">
        <f>IFERROR(IF(OR(P16&gt;=R16,F16&gt;=R16),LOOKUP(IF(P16="",F16,P16),{0,1,10,50,100,1000,10000},{0.0,0.16,0.12,0.12,0.056,0.033,0.024}),"MOQ="&amp;R16),"")</f>
        <v>0.056</v>
      </c>
      <c r="R16" s="11">
        <v>1</v>
      </c>
      <c r="S16" s="13">
        <f>IFERROR(IF(P16="",F16,P16)*Q16,"")</f>
        <v>5.6</v>
      </c>
      <c r="T16" s="11" t="s">
        <v>176</v>
      </c>
    </row>
    <row r="17" spans="1:20">
      <c r="A17" s="11" t="s">
        <v>41</v>
      </c>
      <c r="B17" s="11" t="s">
        <v>39</v>
      </c>
      <c r="C17" s="11" t="s">
        <v>42</v>
      </c>
      <c r="D17" s="11" t="s">
        <v>35</v>
      </c>
      <c r="E17" s="11" t="s">
        <v>42</v>
      </c>
      <c r="F17" s="11">
        <f>CEILING(BoardQty*1.0,1)</f>
        <v>100</v>
      </c>
      <c r="G17" s="12">
        <f>IF(MIN(K17,Q17)&lt;&gt;0,MIN(K17,Q17),"")</f>
        <v>1.11</v>
      </c>
      <c r="H17" s="13">
        <f>IF(AND(ISNUMBER(F17),ISNUMBER(G17)),F17*G17,"")</f>
        <v>111.0</v>
      </c>
      <c r="I17" s="11">
        <v>1366</v>
      </c>
      <c r="J17" s="11"/>
      <c r="K17" s="12">
        <f>IFERROR(IF(OR(J17&gt;=L17,F17&gt;=L17),LOOKUP(IF(J17="",F17,J17),{0,1,10,50,100,500,1000,2000},{0.0,1.87,1.48,1.2828,1.11,0.8387,0.74002,0.69069}),"MOQ="&amp;L17),"")</f>
        <v>1.11</v>
      </c>
      <c r="L17" s="11">
        <v>1</v>
      </c>
      <c r="M17" s="13">
        <f>IFERROR(IF(J17="",F17,J17)*K17,"")</f>
        <v>111.0</v>
      </c>
      <c r="N17" s="11" t="s">
        <v>145</v>
      </c>
      <c r="O17" s="11">
        <v>634</v>
      </c>
      <c r="P17" s="11"/>
      <c r="Q17" s="12">
        <f>IFERROR(IF(OR(P17&gt;=R17,F17&gt;=R17),LOOKUP(IF(P17="",F17,P17),{0,1,10,50,100,1000,10000},{0.0,1.87,1.48,1.29,1.11,0.74,0.74}),"MOQ="&amp;R17),"")</f>
        <v>1.11</v>
      </c>
      <c r="R17" s="11">
        <v>1</v>
      </c>
      <c r="S17" s="13">
        <f>IFERROR(IF(P17="",F17,P17)*Q17,"")</f>
        <v>111.0</v>
      </c>
      <c r="T17" s="11" t="s">
        <v>177</v>
      </c>
    </row>
    <row r="18" spans="1:20" ht="30" customHeight="1">
      <c r="A18" s="11" t="s">
        <v>43</v>
      </c>
      <c r="B18" s="11" t="s">
        <v>44</v>
      </c>
      <c r="C18" s="11" t="s">
        <v>11</v>
      </c>
      <c r="D18" s="11" t="s">
        <v>12</v>
      </c>
      <c r="E18" s="11" t="s">
        <v>13</v>
      </c>
      <c r="F18" s="11">
        <f>CEILING(BoardQty*2.0,1)</f>
        <v>200</v>
      </c>
      <c r="G18" s="12">
        <f>IF(MIN(K18,Q18)&lt;&gt;0,MIN(K18,Q18),"")</f>
        <v>0.0212</v>
      </c>
      <c r="H18" s="13">
        <f>IF(AND(ISNUMBER(F18),ISNUMBER(G18)),F18*G18,"")</f>
        <v>4.24</v>
      </c>
      <c r="I18" s="11">
        <v>17994024</v>
      </c>
      <c r="J18" s="11"/>
      <c r="K18" s="12">
        <f>IFERROR(IF(OR(J18&gt;=L18,F18&gt;=L18),LOOKUP(IF(J18="",F18,J18),{0,1,10,50,100,500,1000,4000,8000,12000,40000},{0.0,0.1,0.048,0.026,0.0212,0.01516,0.01192,0.00997,0.0091,0.00867,0.00823}),"MOQ="&amp;L18),"")</f>
        <v>0.0212</v>
      </c>
      <c r="L18" s="11">
        <v>1</v>
      </c>
      <c r="M18" s="13">
        <f>IFERROR(IF(J18="",F18,J18)*K18,"")</f>
        <v>4.24</v>
      </c>
      <c r="N18" s="11" t="s">
        <v>134</v>
      </c>
      <c r="O18" s="11">
        <v>1282095</v>
      </c>
      <c r="P18" s="11"/>
      <c r="Q18" s="12">
        <f>IFERROR(IF(OR(P18&gt;=R18,F18&gt;=R18),LOOKUP(IF(P18="",F18,P18),{0,1,10,50,100,1000,10000},{0.0,0.1,0.048,0.048,0.022,0.013,0.008}),"MOQ="&amp;R18),"")</f>
        <v>0.022</v>
      </c>
      <c r="R18" s="11">
        <v>1</v>
      </c>
      <c r="S18" s="13">
        <f>IFERROR(IF(P18="",F18,P18)*Q18,"")</f>
        <v>4.4</v>
      </c>
      <c r="T18" s="11" t="s">
        <v>168</v>
      </c>
    </row>
    <row r="19" spans="1:20">
      <c r="A19" s="11" t="s">
        <v>45</v>
      </c>
      <c r="B19" s="11" t="s">
        <v>46</v>
      </c>
      <c r="C19" s="11" t="s">
        <v>46</v>
      </c>
      <c r="D19" s="11" t="s">
        <v>47</v>
      </c>
      <c r="E19" s="11" t="s">
        <v>46</v>
      </c>
      <c r="F19" s="11">
        <f>CEILING(BoardQty*2.0,1)</f>
        <v>200</v>
      </c>
      <c r="G19" s="12">
        <f>IF(MIN(K19,Q19)&lt;&gt;0,MIN(K19,Q19),"")</f>
        <v>0.214</v>
      </c>
      <c r="H19" s="13">
        <f>IF(AND(ISNUMBER(F19),ISNUMBER(G19)),F19*G19,"")</f>
        <v>42.8</v>
      </c>
      <c r="I19" s="11">
        <v>149041</v>
      </c>
      <c r="J19" s="11"/>
      <c r="K19" s="12">
        <f>IFERROR(IF(OR(J19&gt;=L19,F19&gt;=L19),LOOKUP(IF(J19="",F19,J19),{0,1,10,100,500,1000,2000,8000},{0.0,0.4,0.325,0.2214,0.16606,0.12454,0.11417,0.11008}),"MOQ="&amp;L19),"")</f>
        <v>0.2214</v>
      </c>
      <c r="L19" s="11">
        <v>1</v>
      </c>
      <c r="M19" s="13">
        <f>IFERROR(IF(J19="",F19,J19)*K19,"")</f>
        <v>44.28</v>
      </c>
      <c r="N19" s="11" t="s">
        <v>146</v>
      </c>
      <c r="O19" s="11">
        <v>113134</v>
      </c>
      <c r="P19" s="11"/>
      <c r="Q19" s="12">
        <f>IFERROR(IF(OR(P19&gt;=R19,F19&gt;=R19),LOOKUP(IF(P19="",F19,P19),{0,1,10,50,100,1000,10000},{0.0,0.38,0.314,0.314,0.214,0.12,0.1}),"MOQ="&amp;R19),"")</f>
        <v>0.214</v>
      </c>
      <c r="R19" s="11">
        <v>1</v>
      </c>
      <c r="S19" s="13">
        <f>IFERROR(IF(P19="",F19,P19)*Q19,"")</f>
        <v>42.8</v>
      </c>
      <c r="T19" s="11" t="s">
        <v>178</v>
      </c>
    </row>
    <row r="20" spans="1:20" ht="30" customHeight="1">
      <c r="A20" s="11" t="s">
        <v>48</v>
      </c>
      <c r="B20" s="11" t="s">
        <v>49</v>
      </c>
      <c r="C20" s="11" t="s">
        <v>50</v>
      </c>
      <c r="D20" s="11" t="s">
        <v>51</v>
      </c>
      <c r="E20" s="11" t="s">
        <v>52</v>
      </c>
      <c r="F20" s="11">
        <f>CEILING(BoardQty*1.0,1)</f>
        <v>100</v>
      </c>
      <c r="G20" s="12">
        <f>IF(MIN(K20,Q20)&lt;&gt;0,MIN(K20,Q20),"")</f>
        <v>0.17</v>
      </c>
      <c r="H20" s="13">
        <f>IF(AND(ISNUMBER(F20),ISNUMBER(G20)),F20*G20,"")</f>
        <v>17.0</v>
      </c>
      <c r="I20" s="11">
        <v>6400</v>
      </c>
      <c r="J20" s="11"/>
      <c r="K20" s="12">
        <f>IFERROR(IF(OR(J20&gt;=L20,F20&gt;=L20),LOOKUP(IF(J20="",F20,J20),{0,1,50,100,500,2000},{0.0,0.19,0.176,0.17,0.144,0.144}),"MOQ="&amp;L20),"")</f>
        <v>0.17</v>
      </c>
      <c r="L20" s="11">
        <v>1</v>
      </c>
      <c r="M20" s="13">
        <f>IFERROR(IF(J20="",F20,J20)*K20,"")</f>
        <v>17.0</v>
      </c>
      <c r="N20" s="11" t="s">
        <v>147</v>
      </c>
      <c r="O20" s="11">
        <v>33640</v>
      </c>
      <c r="P20" s="11"/>
      <c r="Q20" s="12">
        <f>IFERROR(IF(OR(P20&gt;=R20,F20&gt;=R20),LOOKUP(IF(P20="",F20,P20),{0,1,10,50,100,1000,10000},{0.0,0.2,0.196,0.181,0.175,0.172,0.172}),"MOQ="&amp;R20),"")</f>
        <v>0.175</v>
      </c>
      <c r="R20" s="11">
        <v>1</v>
      </c>
      <c r="S20" s="13">
        <f>IFERROR(IF(P20="",F20,P20)*Q20,"")</f>
        <v>17.5</v>
      </c>
      <c r="T20" s="11" t="s">
        <v>179</v>
      </c>
    </row>
    <row r="21" spans="1:20">
      <c r="A21" s="11" t="s">
        <v>53</v>
      </c>
      <c r="B21" s="11" t="s">
        <v>54</v>
      </c>
      <c r="C21" s="11" t="s">
        <v>55</v>
      </c>
      <c r="D21" s="11" t="s">
        <v>56</v>
      </c>
      <c r="E21" s="11" t="s">
        <v>57</v>
      </c>
      <c r="F21" s="11">
        <f>CEILING(BoardQty*3.0,1)</f>
        <v>300</v>
      </c>
      <c r="G21" s="12">
        <f>IF(MIN(K21,Q21)&lt;&gt;0,MIN(K21,Q21),"")</f>
        <v>0.271</v>
      </c>
      <c r="H21" s="13">
        <f>IF(AND(ISNUMBER(F21),ISNUMBER(G21)),F21*G21,"")</f>
        <v>81.3</v>
      </c>
      <c r="I21" s="14" t="s">
        <v>139</v>
      </c>
      <c r="J21" s="11"/>
      <c r="K21" s="12">
        <f>IFERROR(IF(OR(J21&gt;=L21,F21&gt;=L21),LOOKUP(IF(J21="",F21,J21),{0,1,10,100,500,1000,5000,10000},{0.0,0.48,0.405,0.3146,0.26968,0.22473,0.19262,0.17978}),"MOQ="&amp;L21),"")</f>
        <v>0.3146</v>
      </c>
      <c r="L21" s="11">
        <v>1</v>
      </c>
      <c r="M21" s="13">
        <f>IFERROR(IF(J21="",F21,J21)*K21,"")</f>
        <v>94.38</v>
      </c>
      <c r="N21" s="11" t="s">
        <v>148</v>
      </c>
      <c r="O21" s="11">
        <v>3326</v>
      </c>
      <c r="P21" s="11"/>
      <c r="Q21" s="12">
        <f>IFERROR(IF(OR(P21&gt;=R21,F21&gt;=R21),LOOKUP(IF(P21="",F21,P21),{0,1,10,50,100,1000,10000},{0.0,0.45,0.343,0.343,0.271,0.214,0.175}),"MOQ="&amp;R21),"")</f>
        <v>0.271</v>
      </c>
      <c r="R21" s="11">
        <v>1</v>
      </c>
      <c r="S21" s="13">
        <f>IFERROR(IF(P21="",F21,P21)*Q21,"")</f>
        <v>81.3</v>
      </c>
      <c r="T21" s="11" t="s">
        <v>180</v>
      </c>
    </row>
    <row r="22" spans="1:20" ht="30" customHeight="1">
      <c r="A22" s="11" t="s">
        <v>58</v>
      </c>
      <c r="B22" s="11" t="s">
        <v>59</v>
      </c>
      <c r="C22" s="11" t="s">
        <v>60</v>
      </c>
      <c r="D22" s="11" t="s">
        <v>61</v>
      </c>
      <c r="E22" s="11" t="s">
        <v>62</v>
      </c>
      <c r="F22" s="11">
        <f>CEILING(BoardQty*1.0,1)</f>
        <v>100</v>
      </c>
      <c r="G22" s="12">
        <f>IF(MIN(K22,Q22)&lt;&gt;0,MIN(K22,Q22),"")</f>
        <v>1.3258</v>
      </c>
      <c r="H22" s="13">
        <f>IF(AND(ISNUMBER(F22),ISNUMBER(G22)),F22*G22,"")</f>
        <v>132.58</v>
      </c>
      <c r="I22" s="11">
        <v>29009</v>
      </c>
      <c r="J22" s="11"/>
      <c r="K22" s="12">
        <f>IFERROR(IF(OR(J22&gt;=L22,F22&gt;=L22),LOOKUP(IF(J22="",F22,J22),{0,1,10,25,50,100,250,500,1000,2000,3000,5000},{0.0,1.7,1.484,1.4204,1.389,1.3258,1.19952,1.10482,0.94698,0.91542,0.88385,0.84176}),"MOQ="&amp;L22),"")</f>
        <v>1.3258</v>
      </c>
      <c r="L22" s="11">
        <v>1</v>
      </c>
      <c r="M22" s="13">
        <f>IFERROR(IF(J22="",F22,J22)*K22,"")</f>
        <v>132.58</v>
      </c>
      <c r="N22" s="11" t="s">
        <v>149</v>
      </c>
      <c r="O22" s="11">
        <v>10894</v>
      </c>
      <c r="P22" s="11"/>
      <c r="Q22" s="12">
        <f>IFERROR(IF(OR(P22&gt;=R22,F22&gt;=R22),LOOKUP(IF(P22="",F22,P22),{0,1,10,50,100,1000,10000},{0.0,1.72,1.41,1.41,1.35,0.967,0.855}),"MOQ="&amp;R22),"")</f>
        <v>1.35</v>
      </c>
      <c r="R22" s="11">
        <v>1</v>
      </c>
      <c r="S22" s="13">
        <f>IFERROR(IF(P22="",F22,P22)*Q22,"")</f>
        <v>135.0</v>
      </c>
      <c r="T22" s="11" t="s">
        <v>181</v>
      </c>
    </row>
    <row r="23" spans="1:20" ht="30" customHeight="1">
      <c r="A23" s="11" t="s">
        <v>63</v>
      </c>
      <c r="B23" s="11" t="s">
        <v>64</v>
      </c>
      <c r="C23" s="11" t="s">
        <v>65</v>
      </c>
      <c r="F23" s="11">
        <f>CEILING(BoardQty*7,1)</f>
        <v>700</v>
      </c>
      <c r="G23" s="12">
        <f>IF(MIN(K23,Q23)&lt;&gt;0,MIN(K23,Q23),"")</f>
        <v/>
      </c>
      <c r="H23" s="13">
        <f>IF(AND(ISNUMBER(F23),ISNUMBER(G23)),F23*G23,"")</f>
        <v/>
      </c>
    </row>
    <row r="24" spans="1:20">
      <c r="A24" s="11" t="s">
        <v>66</v>
      </c>
      <c r="B24" s="11" t="s">
        <v>67</v>
      </c>
      <c r="C24" s="11" t="s">
        <v>68</v>
      </c>
      <c r="D24" s="11" t="s">
        <v>19</v>
      </c>
      <c r="E24" s="11" t="s">
        <v>69</v>
      </c>
      <c r="F24" s="11">
        <f>CEILING(BoardQty*1.0,1)</f>
        <v>100</v>
      </c>
      <c r="G24" s="12">
        <f>IF(MIN(K24,Q24)&lt;&gt;0,MIN(K24,Q24),"")</f>
        <v>0.1473</v>
      </c>
      <c r="H24" s="13">
        <f>IF(AND(ISNUMBER(F24),ISNUMBER(G24)),F24*G24,"")</f>
        <v>14.73</v>
      </c>
      <c r="I24" s="11">
        <v>37177</v>
      </c>
      <c r="J24" s="11"/>
      <c r="K24" s="12">
        <f>IFERROR(IF(OR(J24&gt;=L24,F24&gt;=L24),LOOKUP(IF(J24="",F24,J24),{0,1,10,25,50,100,250,500,1000,3000,6000,15000,30000,75000},{0.0,0.24,0.214,0.1876,0.1606,0.1473,0.13388,0.12584,0.09639,0.09103,0.08568,0.083,0.08033,0.07765}),"MOQ="&amp;L24),"")</f>
        <v>0.1473</v>
      </c>
      <c r="L24" s="11">
        <v>1</v>
      </c>
      <c r="M24" s="13">
        <f>IFERROR(IF(J24="",F24,J24)*K24,"")</f>
        <v>14.73</v>
      </c>
      <c r="N24" s="11" t="s">
        <v>150</v>
      </c>
      <c r="O24" s="11">
        <v>64241</v>
      </c>
      <c r="P24" s="11"/>
      <c r="Q24" s="12">
        <f>IFERROR(IF(OR(P24&gt;=R24,F24&gt;=R24),LOOKUP(IF(P24="",F24,P24),{0,1,10,50,100,1000,10000},{0.0,0.26,0.188,0.188,0.153,0.108,0.091}),"MOQ="&amp;R24),"")</f>
        <v>0.153</v>
      </c>
      <c r="R24" s="11">
        <v>1</v>
      </c>
      <c r="S24" s="13">
        <f>IFERROR(IF(P24="",F24,P24)*Q24,"")</f>
        <v>15.3</v>
      </c>
      <c r="T24" s="11" t="s">
        <v>182</v>
      </c>
    </row>
    <row r="25" spans="1:20" ht="30" customHeight="1">
      <c r="A25" s="11" t="s">
        <v>70</v>
      </c>
      <c r="B25" s="11" t="s">
        <v>71</v>
      </c>
      <c r="C25" s="11" t="s">
        <v>72</v>
      </c>
      <c r="D25" s="11" t="s">
        <v>73</v>
      </c>
      <c r="E25" s="11" t="s">
        <v>71</v>
      </c>
      <c r="F25" s="11">
        <f>CEILING(BoardQty*1.0,1)</f>
        <v>100</v>
      </c>
      <c r="G25" s="12">
        <f>IF(MIN(K25,Q25)&lt;&gt;0,MIN(K25,Q25),"")</f>
        <v>0.047</v>
      </c>
      <c r="H25" s="13">
        <f>IF(AND(ISNUMBER(F25),ISNUMBER(G25)),F25*G25,"")</f>
        <v>4.7</v>
      </c>
      <c r="I25" s="11">
        <v>21652</v>
      </c>
      <c r="J25" s="11"/>
      <c r="K25" s="12">
        <f>IFERROR(IF(OR(J25&gt;=L25,F25&gt;=L25),LOOKUP(IF(J25="",F25,J25),{0,1,10,25,50,100,250,500,1000,4000,8000,12000,28000,100000},{0.0,0.13,0.104,0.094,0.069,0.0596,0.04704,0.03972,0.03344,0.03135,0.02926,0.02717,0.02686,0.02613}),"MOQ="&amp;L25),"")</f>
        <v>0.0596</v>
      </c>
      <c r="L25" s="11">
        <v>1</v>
      </c>
      <c r="M25" s="13">
        <f>IFERROR(IF(J25="",F25,J25)*K25,"")</f>
        <v>5.96</v>
      </c>
      <c r="N25" s="11" t="s">
        <v>151</v>
      </c>
      <c r="O25" s="11">
        <v>76110</v>
      </c>
      <c r="P25" s="11"/>
      <c r="Q25" s="12">
        <f>IFERROR(IF(OR(P25&gt;=R25,F25&gt;=R25),LOOKUP(IF(P25="",F25,P25),{0,1,10,50,100,1000,10000},{0.0,0.13,0.069,0.069,0.047,0.034,0.029}),"MOQ="&amp;R25),"")</f>
        <v>0.047</v>
      </c>
      <c r="R25" s="11">
        <v>1</v>
      </c>
      <c r="S25" s="13">
        <f>IFERROR(IF(P25="",F25,P25)*Q25,"")</f>
        <v>4.7</v>
      </c>
      <c r="T25" s="11" t="s">
        <v>183</v>
      </c>
    </row>
    <row r="26" spans="1:20" ht="30" customHeight="1">
      <c r="A26" s="11" t="s">
        <v>74</v>
      </c>
      <c r="B26" s="11" t="s">
        <v>75</v>
      </c>
      <c r="C26" s="11" t="s">
        <v>72</v>
      </c>
      <c r="D26" s="11" t="s">
        <v>76</v>
      </c>
      <c r="E26" s="11" t="s">
        <v>75</v>
      </c>
      <c r="F26" s="11">
        <f>CEILING(BoardQty*1.0,1)</f>
        <v>100</v>
      </c>
      <c r="G26" s="12">
        <f>IF(MIN(K26,Q26)&lt;&gt;0,MIN(K26,Q26),"")</f>
        <v>0.0502</v>
      </c>
      <c r="H26" s="13">
        <f>IF(AND(ISNUMBER(F26),ISNUMBER(G26)),F26*G26,"")</f>
        <v>5.02</v>
      </c>
      <c r="I26" s="11">
        <v>388774</v>
      </c>
      <c r="J26" s="11"/>
      <c r="K26" s="12">
        <f>IFERROR(IF(OR(J26&gt;=L26,F26&gt;=L26),LOOKUP(IF(J26="",F26,J26),{0,1,10,25,50,100,250,500,1000,4000,8000,12000,28000,100000},{0.0,0.11,0.088,0.0792,0.058,0.0502,0.0396,0.03344,0.02816,0.0264,0.02464,0.02288,0.02262,0.022}),"MOQ="&amp;L26),"")</f>
        <v>0.0502</v>
      </c>
      <c r="L26" s="11">
        <v>1</v>
      </c>
      <c r="M26" s="13">
        <f>IFERROR(IF(J26="",F26,J26)*K26,"")</f>
        <v>5.02</v>
      </c>
      <c r="N26" s="11" t="s">
        <v>152</v>
      </c>
      <c r="O26" s="11">
        <v>563354</v>
      </c>
      <c r="P26" s="11"/>
      <c r="Q26" s="12">
        <f>IFERROR(IF(OR(P26&gt;=R26,F26&gt;=R26),LOOKUP(IF(P26="",F26,P26),{0,1,10,50,100,1000,10000},{0.0,0.11,0.058,0.058,0.051,0.029,0.022}),"MOQ="&amp;R26),"")</f>
        <v>0.051</v>
      </c>
      <c r="R26" s="11">
        <v>1</v>
      </c>
      <c r="S26" s="13">
        <f>IFERROR(IF(P26="",F26,P26)*Q26,"")</f>
        <v>5.1</v>
      </c>
      <c r="T26" s="11" t="s">
        <v>184</v>
      </c>
    </row>
    <row r="27" spans="1:20" ht="30" customHeight="1">
      <c r="A27" s="11" t="s">
        <v>77</v>
      </c>
      <c r="B27" s="11" t="s">
        <v>78</v>
      </c>
      <c r="C27" s="11" t="s">
        <v>79</v>
      </c>
      <c r="D27" s="11" t="s">
        <v>12</v>
      </c>
      <c r="E27" s="11" t="s">
        <v>80</v>
      </c>
      <c r="F27" s="11">
        <f>CEILING(BoardQty*8.0,1)</f>
        <v>800</v>
      </c>
      <c r="G27" s="12">
        <f>IF(MIN(K27,Q27)&lt;&gt;0,MIN(K27,Q27),"")</f>
        <v>0.007</v>
      </c>
      <c r="H27" s="13">
        <f>IF(AND(ISNUMBER(F27),ISNUMBER(G27)),F27*G27,"")</f>
        <v>5.6</v>
      </c>
      <c r="I27" s="11">
        <v>51549258</v>
      </c>
      <c r="J27" s="11"/>
      <c r="K27" s="12">
        <f>IFERROR(IF(OR(J27&gt;=L27,F27&gt;=L27),LOOKUP(IF(J27="",F27,J27),{0,1,10,100,1000,2500,5000,10000,25000,50000,125000},{0.0,0.1,0.024,0.0097,0.00436,0.00378,0.00312,0.00271,0.00238,0.00219,0.00214}),"MOQ="&amp;L27),"")</f>
        <v>0.0097</v>
      </c>
      <c r="L27" s="11">
        <v>1</v>
      </c>
      <c r="M27" s="13">
        <f>IFERROR(IF(J27="",F27,J27)*K27,"")</f>
        <v>7.76</v>
      </c>
      <c r="N27" s="11" t="s">
        <v>153</v>
      </c>
      <c r="O27" s="11">
        <v>11548584</v>
      </c>
      <c r="P27" s="11"/>
      <c r="Q27" s="12">
        <f>IFERROR(IF(OR(P27&gt;=R27,F27&gt;=R27),LOOKUP(IF(P27="",F27,P27),{0,1,10,50,100,1000,10000},{0.0,0.1,0.017,0.017,0.007,0.004,0.002}),"MOQ="&amp;R27),"")</f>
        <v>0.007</v>
      </c>
      <c r="R27" s="11">
        <v>1</v>
      </c>
      <c r="S27" s="13">
        <f>IFERROR(IF(P27="",F27,P27)*Q27,"")</f>
        <v>5.6</v>
      </c>
      <c r="T27" s="11" t="s">
        <v>185</v>
      </c>
    </row>
    <row r="28" spans="1:20" ht="30" customHeight="1">
      <c r="A28" s="11" t="s">
        <v>81</v>
      </c>
      <c r="B28" s="11" t="s">
        <v>82</v>
      </c>
      <c r="C28" s="11" t="s">
        <v>79</v>
      </c>
      <c r="D28" s="11" t="s">
        <v>83</v>
      </c>
      <c r="E28" s="11" t="s">
        <v>84</v>
      </c>
      <c r="F28" s="11">
        <f>CEILING(BoardQty*3.0,1)</f>
        <v>300</v>
      </c>
      <c r="G28" s="12">
        <f>IF(MIN(K28,Q28)&lt;&gt;0,MIN(K28,Q28),"")</f>
        <v>0.189</v>
      </c>
      <c r="H28" s="13">
        <f>IF(AND(ISNUMBER(F28),ISNUMBER(G28)),F28*G28,"")</f>
        <v>56.7</v>
      </c>
      <c r="I28" s="14" t="s">
        <v>139</v>
      </c>
      <c r="J28" s="11"/>
      <c r="K28" s="12">
        <f>IFERROR(IF(OR(J28&gt;=L28,F28&gt;=L28),LOOKUP(IF(J28="",F28,J28),{0,1,5000},{0.0,0.08863,0.08863}),"MOQ="&amp;L28),"")</f>
        <v/>
      </c>
      <c r="L28" s="11">
        <v>5000</v>
      </c>
      <c r="M28" s="13">
        <f>IFERROR(IF(J28="",F28,J28)*K28,"")</f>
        <v/>
      </c>
      <c r="N28" s="11" t="s">
        <v>154</v>
      </c>
      <c r="O28" s="11">
        <v>198551</v>
      </c>
      <c r="P28" s="11"/>
      <c r="Q28" s="12">
        <f>IFERROR(IF(OR(P28&gt;=R28,F28&gt;=R28),LOOKUP(IF(P28="",F28,P28),{0,1,10,50,100,1000,10000},{0.0,0.58,0.448,0.448,0.189,0.132,0.112}),"MOQ="&amp;R28),"")</f>
        <v>0.189</v>
      </c>
      <c r="R28" s="11">
        <v>1</v>
      </c>
      <c r="S28" s="13">
        <f>IFERROR(IF(P28="",F28,P28)*Q28,"")</f>
        <v>56.7</v>
      </c>
      <c r="T28" s="11" t="s">
        <v>186</v>
      </c>
    </row>
    <row r="29" spans="1:20" ht="30" customHeight="1">
      <c r="A29" s="11" t="s">
        <v>85</v>
      </c>
      <c r="B29" s="11" t="s">
        <v>86</v>
      </c>
      <c r="C29" s="11" t="s">
        <v>79</v>
      </c>
      <c r="D29" s="11" t="s">
        <v>12</v>
      </c>
      <c r="E29" s="11" t="s">
        <v>87</v>
      </c>
      <c r="F29" s="11">
        <f>CEILING(BoardQty*1.0,1)</f>
        <v>100</v>
      </c>
      <c r="G29" s="12">
        <f>IF(MIN(K29,Q29)&lt;&gt;0,MIN(K29,Q29),"")</f>
        <v>0.007</v>
      </c>
      <c r="H29" s="13">
        <f>IF(AND(ISNUMBER(F29),ISNUMBER(G29)),F29*G29,"")</f>
        <v>0.7</v>
      </c>
      <c r="I29" s="11">
        <v>371742</v>
      </c>
      <c r="J29" s="11"/>
      <c r="K29" s="12">
        <f>IFERROR(IF(OR(J29&gt;=L29,F29&gt;=L29),LOOKUP(IF(J29="",F29,J29),{0,1,10,100,1000,2500,5000,10000,25000,50000,125000},{0.0,0.1,0.024,0.0097,0.00436,0.00378,0.00312,0.00271,0.00238,0.00219,0.00214}),"MOQ="&amp;L29),"")</f>
        <v>0.0097</v>
      </c>
      <c r="L29" s="11">
        <v>1</v>
      </c>
      <c r="M29" s="13">
        <f>IFERROR(IF(J29="",F29,J29)*K29,"")</f>
        <v>0.97</v>
      </c>
      <c r="N29" s="11" t="s">
        <v>155</v>
      </c>
      <c r="O29" s="11">
        <v>581331</v>
      </c>
      <c r="P29" s="11"/>
      <c r="Q29" s="12">
        <f>IFERROR(IF(OR(P29&gt;=R29,F29&gt;=R29),LOOKUP(IF(P29="",F29,P29),{0,1,10,50,100,1000,10000},{0.0,0.1,0.017,0.017,0.007,0.004,0.002}),"MOQ="&amp;R29),"")</f>
        <v>0.007</v>
      </c>
      <c r="R29" s="11">
        <v>1</v>
      </c>
      <c r="S29" s="13">
        <f>IFERROR(IF(P29="",F29,P29)*Q29,"")</f>
        <v>0.7</v>
      </c>
      <c r="T29" s="11" t="s">
        <v>187</v>
      </c>
    </row>
    <row r="30" spans="1:20" ht="30" customHeight="1">
      <c r="A30" s="11" t="s">
        <v>88</v>
      </c>
      <c r="B30" s="11" t="s">
        <v>89</v>
      </c>
      <c r="C30" s="11" t="s">
        <v>79</v>
      </c>
      <c r="D30" s="11" t="s">
        <v>12</v>
      </c>
      <c r="E30" s="11" t="s">
        <v>90</v>
      </c>
      <c r="F30" s="11">
        <f>CEILING(BoardQty*1.0,1)</f>
        <v>100</v>
      </c>
      <c r="G30" s="12">
        <f>IF(MIN(K30,Q30)&lt;&gt;0,MIN(K30,Q30),"")</f>
        <v>0.007</v>
      </c>
      <c r="H30" s="13">
        <f>IF(AND(ISNUMBER(F30),ISNUMBER(G30)),F30*G30,"")</f>
        <v>0.7</v>
      </c>
      <c r="I30" s="11">
        <v>9091909</v>
      </c>
      <c r="J30" s="11"/>
      <c r="K30" s="12">
        <f>IFERROR(IF(OR(J30&gt;=L30,F30&gt;=L30),LOOKUP(IF(J30="",F30,J30),{0,1,10,100,1000,2500,5000,10000,25000,50000,125000},{0.0,0.1,0.024,0.0097,0.00436,0.00378,0.00312,0.00271,0.00238,0.00219,0.00214}),"MOQ="&amp;L30),"")</f>
        <v>0.0097</v>
      </c>
      <c r="L30" s="11">
        <v>1</v>
      </c>
      <c r="M30" s="13">
        <f>IFERROR(IF(J30="",F30,J30)*K30,"")</f>
        <v>0.97</v>
      </c>
      <c r="N30" s="11" t="s">
        <v>156</v>
      </c>
      <c r="O30" s="11">
        <v>15735255</v>
      </c>
      <c r="P30" s="11"/>
      <c r="Q30" s="12">
        <f>IFERROR(IF(OR(P30&gt;=R30,F30&gt;=R30),LOOKUP(IF(P30="",F30,P30),{0,1,10,50,100,1000,10000},{0.0,0.1,0.017,0.017,0.007,0.004,0.003}),"MOQ="&amp;R30),"")</f>
        <v>0.007</v>
      </c>
      <c r="R30" s="11">
        <v>1</v>
      </c>
      <c r="S30" s="13">
        <f>IFERROR(IF(P30="",F30,P30)*Q30,"")</f>
        <v>0.7</v>
      </c>
      <c r="T30" s="11" t="s">
        <v>188</v>
      </c>
    </row>
    <row r="31" spans="1:20" ht="30" customHeight="1">
      <c r="A31" s="11" t="s">
        <v>91</v>
      </c>
      <c r="B31" s="11" t="s">
        <v>92</v>
      </c>
      <c r="C31" s="11" t="s">
        <v>79</v>
      </c>
      <c r="D31" s="11" t="s">
        <v>12</v>
      </c>
      <c r="E31" s="11" t="s">
        <v>93</v>
      </c>
      <c r="F31" s="11">
        <f>CEILING(BoardQty*60.0,1)</f>
        <v>6000</v>
      </c>
      <c r="G31" s="12">
        <f>IF(MIN(K31,Q31)&lt;&gt;0,MIN(K31,Q31),"")</f>
        <v>0.00312</v>
      </c>
      <c r="H31" s="13">
        <f>IF(AND(ISNUMBER(F31),ISNUMBER(G31)),F31*G31,"")</f>
        <v>18.72</v>
      </c>
      <c r="I31" s="11">
        <v>4317159</v>
      </c>
      <c r="J31" s="11"/>
      <c r="K31" s="12">
        <f>IFERROR(IF(OR(J31&gt;=L31,F31&gt;=L31),LOOKUP(IF(J31="",F31,J31),{0,1,10,100,1000,2500,5000,10000,25000,50000,125000},{0.0,0.1,0.024,0.0097,0.00436,0.00378,0.00312,0.00271,0.00238,0.00219,0.00214}),"MOQ="&amp;L31),"")</f>
        <v>0.00312</v>
      </c>
      <c r="L31" s="11">
        <v>1</v>
      </c>
      <c r="M31" s="13">
        <f>IFERROR(IF(J31="",F31,J31)*K31,"")</f>
        <v>18.72</v>
      </c>
      <c r="N31" s="11" t="s">
        <v>157</v>
      </c>
      <c r="O31" s="11">
        <v>165925</v>
      </c>
      <c r="P31" s="11"/>
      <c r="Q31" s="12">
        <f>IFERROR(IF(OR(P31&gt;=R31,F31&gt;=R31),LOOKUP(IF(P31="",F31,P31),{0,1,10,50,100,1000,10000},{0.0,0.1,0.017,0.017,0.007,0.004,0.002}),"MOQ="&amp;R31),"")</f>
        <v>0.004</v>
      </c>
      <c r="R31" s="11">
        <v>1</v>
      </c>
      <c r="S31" s="13">
        <f>IFERROR(IF(P31="",F31,P31)*Q31,"")</f>
        <v>24.0</v>
      </c>
      <c r="T31" s="11" t="s">
        <v>189</v>
      </c>
    </row>
    <row r="32" spans="1:20">
      <c r="A32" s="11" t="s">
        <v>94</v>
      </c>
      <c r="B32" s="11" t="s">
        <v>95</v>
      </c>
      <c r="C32" s="11" t="s">
        <v>96</v>
      </c>
      <c r="D32" s="11" t="s">
        <v>97</v>
      </c>
      <c r="E32" s="11" t="s">
        <v>95</v>
      </c>
      <c r="F32" s="11">
        <f>CEILING(BoardQty*1.0,1)</f>
        <v>100</v>
      </c>
      <c r="G32" s="12">
        <f>IF(MIN(K32,Q32)&lt;&gt;0,MIN(K32,Q32),"")</f>
        <v>1.36</v>
      </c>
      <c r="H32" s="13">
        <f>IF(AND(ISNUMBER(F32),ISNUMBER(G32)),F32*G32,"")</f>
        <v>136.0</v>
      </c>
      <c r="I32" s="11">
        <v>402</v>
      </c>
      <c r="J32" s="11"/>
      <c r="K32" s="12">
        <f>IFERROR(IF(OR(J32&gt;=L32,F32&gt;=L32),LOOKUP(IF(J32="",F32,J32),{0,1,10,25,100,250,500,1000,3000,5000,10000},{0.0,1.82,1.77,1.6092,1.3982,1.26708,1.1797,1.09232,0.99037,0.91754,0.87385}),"MOQ="&amp;L32),"")</f>
        <v>1.3982</v>
      </c>
      <c r="L32" s="11">
        <v>1</v>
      </c>
      <c r="M32" s="13">
        <f>IFERROR(IF(J32="",F32,J32)*K32,"")</f>
        <v>139.82</v>
      </c>
      <c r="N32" s="11" t="s">
        <v>158</v>
      </c>
      <c r="O32" s="11">
        <v>345</v>
      </c>
      <c r="P32" s="11"/>
      <c r="Q32" s="12">
        <f>IFERROR(IF(OR(P32&gt;=R32,F32&gt;=R32),LOOKUP(IF(P32="",F32,P32),{0,1,10,50,100,1000,10000},{0.0,1.76,1.65,1.49,1.36,1.09,0.99}),"MOQ="&amp;R32),"")</f>
        <v>1.36</v>
      </c>
      <c r="R32" s="11">
        <v>1</v>
      </c>
      <c r="S32" s="13">
        <f>IFERROR(IF(P32="",F32,P32)*Q32,"")</f>
        <v>136.0</v>
      </c>
      <c r="T32" s="11" t="s">
        <v>190</v>
      </c>
    </row>
    <row r="33" spans="1:20" ht="30" customHeight="1">
      <c r="A33" s="11" t="s">
        <v>98</v>
      </c>
      <c r="B33" s="11" t="s">
        <v>99</v>
      </c>
      <c r="C33" s="11" t="s">
        <v>100</v>
      </c>
      <c r="D33" s="11" t="s">
        <v>51</v>
      </c>
      <c r="E33" s="11" t="s">
        <v>101</v>
      </c>
      <c r="F33" s="11">
        <f>CEILING(BoardQty*1.0,1)</f>
        <v>100</v>
      </c>
      <c r="G33" s="12">
        <f>IF(MIN(K33,Q33)&lt;&gt;0,MIN(K33,Q33),"")</f>
        <v>0.462</v>
      </c>
      <c r="H33" s="13">
        <f>IF(AND(ISNUMBER(F33),ISNUMBER(G33)),F33*G33,"")</f>
        <v>46.2</v>
      </c>
      <c r="I33" s="11">
        <v>4847</v>
      </c>
      <c r="J33" s="11"/>
      <c r="K33" s="12">
        <f>IFERROR(IF(OR(J33&gt;=L33,F33&gt;=L33),LOOKUP(IF(J33="",F33,J33),{0,1,50,100,500,1000,2000},{0.0,0.55,0.507,0.462,0.419,0.364,0.326}),"MOQ="&amp;L33),"")</f>
        <v>0.462</v>
      </c>
      <c r="L33" s="11">
        <v>1</v>
      </c>
      <c r="M33" s="13">
        <f>IFERROR(IF(J33="",F33,J33)*K33,"")</f>
        <v>46.2</v>
      </c>
      <c r="N33" s="11" t="s">
        <v>159</v>
      </c>
      <c r="O33" s="11">
        <v>6746</v>
      </c>
      <c r="P33" s="11"/>
      <c r="Q33" s="12">
        <f>IFERROR(IF(OR(P33&gt;=R33,F33&gt;=R33),LOOKUP(IF(P33="",F33,P33),{0,1,10,50,100,1000,10000},{0.0,0.57,0.565,0.522,0.476,0.432,0.432}),"MOQ="&amp;R33),"")</f>
        <v>0.476</v>
      </c>
      <c r="R33" s="11">
        <v>1</v>
      </c>
      <c r="S33" s="13">
        <f>IFERROR(IF(P33="",F33,P33)*Q33,"")</f>
        <v>47.6</v>
      </c>
      <c r="T33" s="11" t="s">
        <v>191</v>
      </c>
    </row>
    <row r="34" spans="1:20">
      <c r="A34" s="11" t="s">
        <v>102</v>
      </c>
      <c r="B34" s="11" t="s">
        <v>103</v>
      </c>
      <c r="C34" s="11" t="s">
        <v>104</v>
      </c>
      <c r="F34" s="11">
        <f>CEILING(BoardQty*4,1)</f>
        <v>400</v>
      </c>
      <c r="G34" s="12">
        <f>IF(MIN(K34,Q34)&lt;&gt;0,MIN(K34,Q34),"")</f>
        <v/>
      </c>
      <c r="H34" s="13">
        <f>IF(AND(ISNUMBER(F34),ISNUMBER(G34)),F34*G34,"")</f>
        <v/>
      </c>
    </row>
    <row r="35" spans="1:20">
      <c r="A35" s="11" t="s">
        <v>105</v>
      </c>
      <c r="B35" s="11" t="s">
        <v>106</v>
      </c>
      <c r="C35" s="11" t="s">
        <v>106</v>
      </c>
      <c r="D35" s="11" t="s">
        <v>47</v>
      </c>
      <c r="E35" s="11" t="s">
        <v>107</v>
      </c>
      <c r="F35" s="11">
        <f>CEILING(BoardQty*1.0,1)</f>
        <v>100</v>
      </c>
      <c r="G35" s="12">
        <f>IF(MIN(K35,Q35)&lt;&gt;0,MIN(K35,Q35),"")</f>
        <v>19.41</v>
      </c>
      <c r="H35" s="13">
        <f>IF(AND(ISNUMBER(F35),ISNUMBER(G35)),F35*G35,"")</f>
        <v>1941.0</v>
      </c>
      <c r="I35" s="14" t="s">
        <v>139</v>
      </c>
      <c r="J35" s="11"/>
      <c r="K35" s="12">
        <f>IFERROR(IF(OR(J35&gt;=L35,F35&gt;=L35),LOOKUP(IF(J35="",F35,J35),{0,1,10,25,80},{0.0,24.64,22.723,21.7012,21.27575}),"MOQ="&amp;L35),"")</f>
        <v>21.27575</v>
      </c>
      <c r="L35" s="11">
        <v>1</v>
      </c>
      <c r="M35" s="13">
        <f>IFERROR(IF(J35="",F35,J35)*K35,"")</f>
        <v>2127.575</v>
      </c>
      <c r="N35" s="11" t="s">
        <v>160</v>
      </c>
      <c r="O35" s="14" t="s">
        <v>139</v>
      </c>
      <c r="P35" s="11"/>
      <c r="Q35" s="12">
        <f>IFERROR(IF(OR(P35&gt;=R35,F35&gt;=R35),LOOKUP(IF(P35="",F35,P35),{0,1,10,50,100,1000,10000},{0.0,24.63,22.73,21.71,19.41,17.02,17.02}),"MOQ="&amp;R35),"")</f>
        <v>19.41</v>
      </c>
      <c r="R35" s="11">
        <v>1</v>
      </c>
      <c r="S35" s="13">
        <f>IFERROR(IF(P35="",F35,P35)*Q35,"")</f>
        <v>1941.0</v>
      </c>
      <c r="T35" s="11" t="s">
        <v>192</v>
      </c>
    </row>
    <row r="36" spans="1:20">
      <c r="A36" s="11" t="s">
        <v>108</v>
      </c>
      <c r="B36" s="11" t="s">
        <v>109</v>
      </c>
      <c r="C36" s="11" t="s">
        <v>109</v>
      </c>
      <c r="D36" s="11" t="s">
        <v>47</v>
      </c>
      <c r="E36" s="11" t="s">
        <v>109</v>
      </c>
      <c r="F36" s="11">
        <f>CEILING(BoardQty*1.0,1)</f>
        <v>100</v>
      </c>
      <c r="G36" s="12">
        <f>IF(MIN(K36,Q36)&lt;&gt;0,MIN(K36,Q36),"")</f>
        <v>0.8209</v>
      </c>
      <c r="H36" s="13">
        <f>IF(AND(ISNUMBER(F36),ISNUMBER(G36)),F36*G36,"")</f>
        <v>82.09</v>
      </c>
      <c r="I36" s="14" t="s">
        <v>139</v>
      </c>
      <c r="J36" s="11"/>
      <c r="K36" s="12">
        <f>IFERROR(IF(OR(J36&gt;=L36,F36&gt;=L36),LOOKUP(IF(J36="",F36,J36),{0,1,10,25,100,250,500,1000,3000},{0.0,1.18,1.053,0.9992,0.8209,0.76732,0.67812,0.58922,0.58923}),"MOQ="&amp;L36),"")</f>
        <v>0.8209</v>
      </c>
      <c r="L36" s="11">
        <v>1</v>
      </c>
      <c r="M36" s="13">
        <f>IFERROR(IF(J36="",F36,J36)*K36,"")</f>
        <v>82.09</v>
      </c>
      <c r="N36" s="11" t="s">
        <v>161</v>
      </c>
      <c r="O36" s="14" t="s">
        <v>139</v>
      </c>
      <c r="P36" s="11"/>
      <c r="Q36" s="12">
        <f>IFERROR(IF(OR(P36&gt;=R36,F36&gt;=R36),LOOKUP(IF(P36="",F36,P36),{0,1,10,50,100,1000,10000},{0.0,1.17,1.06,1.0,0.821,0.539,0.538}),"MOQ="&amp;R36),"")</f>
        <v>0.821</v>
      </c>
      <c r="R36" s="11">
        <v>1</v>
      </c>
      <c r="S36" s="13">
        <f>IFERROR(IF(P36="",F36,P36)*Q36,"")</f>
        <v>82.1</v>
      </c>
      <c r="T36" s="11" t="s">
        <v>193</v>
      </c>
    </row>
    <row r="37" spans="1:20">
      <c r="A37" s="11" t="s">
        <v>110</v>
      </c>
      <c r="B37" s="11" t="s">
        <v>111</v>
      </c>
      <c r="C37" s="11" t="s">
        <v>112</v>
      </c>
      <c r="D37" s="11" t="s">
        <v>47</v>
      </c>
      <c r="E37" s="11" t="s">
        <v>113</v>
      </c>
      <c r="F37" s="11">
        <f>CEILING(BoardQty*1.0,1)</f>
        <v>100</v>
      </c>
      <c r="G37" s="12">
        <f>IF(MIN(K37,Q37)&lt;&gt;0,MIN(K37,Q37),"")</f>
        <v>0.5396</v>
      </c>
      <c r="H37" s="13">
        <f>IF(AND(ISNUMBER(F37),ISNUMBER(G37)),F37*G37,"")</f>
        <v>53.96</v>
      </c>
      <c r="I37" s="14" t="s">
        <v>139</v>
      </c>
      <c r="J37" s="11"/>
      <c r="K37" s="12">
        <f>IFERROR(IF(OR(J37&gt;=L37,F37&gt;=L37),LOOKUP(IF(J37="",F37,J37),{0,1,10,25,100,250,500,1000,2500},{0.0,0.8,0.704,0.6612,0.5396,0.5012,0.42654,0.3521,0.3521}),"MOQ="&amp;L37),"")</f>
        <v>0.5396</v>
      </c>
      <c r="L37" s="11">
        <v>1</v>
      </c>
      <c r="M37" s="13">
        <f>IFERROR(IF(J37="",F37,J37)*K37,"")</f>
        <v>53.96</v>
      </c>
      <c r="N37" s="11" t="s">
        <v>162</v>
      </c>
      <c r="O37" s="14" t="s">
        <v>139</v>
      </c>
      <c r="P37" s="11"/>
      <c r="Q37" s="12">
        <f>IFERROR(IF(OR(P37&gt;=R37,F37&gt;=R37),LOOKUP(IF(P37="",F37,P37),{0,1,10,50,100,1000,10000},{0.0,0.8,0.661,0.661,0.54,0.342,0.321}),"MOQ="&amp;R37),"")</f>
        <v>0.54</v>
      </c>
      <c r="R37" s="11">
        <v>1</v>
      </c>
      <c r="S37" s="13">
        <f>IFERROR(IF(P37="",F37,P37)*Q37,"")</f>
        <v>54.0</v>
      </c>
      <c r="T37" s="11" t="s">
        <v>194</v>
      </c>
    </row>
    <row r="38" spans="1:20">
      <c r="A38" s="11" t="s">
        <v>114</v>
      </c>
      <c r="B38" s="11" t="s">
        <v>115</v>
      </c>
      <c r="C38" s="11" t="s">
        <v>116</v>
      </c>
      <c r="E38" s="11" t="s">
        <v>115</v>
      </c>
      <c r="F38" s="11">
        <f>CEILING(BoardQty*1.0,1)</f>
        <v>100</v>
      </c>
      <c r="G38" s="12">
        <f>IF(MIN(K38,Q38)&lt;&gt;0,MIN(K38,Q38),"")</f>
        <v>7.61</v>
      </c>
      <c r="H38" s="13">
        <f>IF(AND(ISNUMBER(F38),ISNUMBER(G38)),F38*G38,"")</f>
        <v>761.0</v>
      </c>
      <c r="I38" s="14" t="s">
        <v>139</v>
      </c>
      <c r="J38" s="11"/>
      <c r="K38" s="12">
        <f>IFERROR(IF(OR(J38&gt;=L38,F38&gt;=L38),LOOKUP(IF(J38="",F38,J38),{0,1,216},{0.0,7.08148,7.08148}),"MOQ="&amp;L38),"")</f>
        <v/>
      </c>
      <c r="L38" s="11">
        <v>216</v>
      </c>
      <c r="M38" s="13">
        <f>IFERROR(IF(J38="",F38,J38)*K38,"")</f>
        <v/>
      </c>
      <c r="N38" s="11" t="s">
        <v>163</v>
      </c>
      <c r="O38" s="11">
        <v>4784</v>
      </c>
      <c r="P38" s="11"/>
      <c r="Q38" s="12">
        <f>IFERROR(IF(OR(P38&gt;=R38,F38&gt;=R38),LOOKUP(IF(P38="",F38,P38),{0,1,10,50,100,1000,10000},{0.0,8.47,8.0,7.61,7.61,7.23,7.23}),"MOQ="&amp;R38),"")</f>
        <v>7.61</v>
      </c>
      <c r="R38" s="11">
        <v>1</v>
      </c>
      <c r="S38" s="13">
        <f>IFERROR(IF(P38="",F38,P38)*Q38,"")</f>
        <v>761.0</v>
      </c>
      <c r="T38" s="11" t="s">
        <v>195</v>
      </c>
    </row>
    <row r="39" spans="1:20">
      <c r="A39" s="11" t="s">
        <v>117</v>
      </c>
      <c r="B39" s="11" t="s">
        <v>118</v>
      </c>
      <c r="C39" s="11" t="s">
        <v>118</v>
      </c>
      <c r="D39" s="11" t="s">
        <v>119</v>
      </c>
      <c r="E39" s="11" t="s">
        <v>118</v>
      </c>
      <c r="F39" s="11">
        <f>CEILING(BoardQty*2.0,1)</f>
        <v>200</v>
      </c>
      <c r="G39" s="12">
        <f>IF(MIN(K39,Q39)&lt;&gt;0,MIN(K39,Q39),"")</f>
        <v>10.8407</v>
      </c>
      <c r="H39" s="13">
        <f>IF(AND(ISNUMBER(F39),ISNUMBER(G39)),F39*G39,"")</f>
        <v>2168.14</v>
      </c>
      <c r="I39" s="14" t="s">
        <v>139</v>
      </c>
      <c r="J39" s="11"/>
      <c r="K39" s="12">
        <f>IFERROR(IF(OR(J39&gt;=L39,F39&gt;=L39),LOOKUP(IF(J39="",F39,J39),{0,1,10,25,50,100,250,500,1000},{0.0,13.68,12.668,12.3808,12.3146,10.8407,10.30272,10.19952,9.87}),"MOQ="&amp;L39),"")</f>
        <v>10.8407</v>
      </c>
      <c r="L39" s="11">
        <v>1</v>
      </c>
      <c r="M39" s="13">
        <f>IFERROR(IF(J39="",F39,J39)*K39,"")</f>
        <v>2168.14</v>
      </c>
      <c r="N39" s="11" t="s">
        <v>164</v>
      </c>
      <c r="O39" s="11">
        <v>32</v>
      </c>
      <c r="P39" s="11"/>
      <c r="Q39" s="12">
        <f>IFERROR(IF(OR(P39&gt;=R39,F39&gt;=R39),LOOKUP(IF(P39="",F39,P39),{0,1,10,50,100,1000,10000},{0.0,13.96,12.93,12.32,11.06,10.41,10.41}),"MOQ="&amp;R39),"")</f>
        <v>11.06</v>
      </c>
      <c r="R39" s="11">
        <v>1</v>
      </c>
      <c r="S39" s="13">
        <f>IFERROR(IF(P39="",F39,P39)*Q39,"")</f>
        <v>2212.0</v>
      </c>
      <c r="T39" s="11" t="s">
        <v>196</v>
      </c>
    </row>
    <row r="40" spans="1:20" ht="30" customHeight="1">
      <c r="A40" s="11" t="s">
        <v>120</v>
      </c>
      <c r="B40" s="11" t="s">
        <v>121</v>
      </c>
      <c r="C40" s="11" t="s">
        <v>122</v>
      </c>
      <c r="D40" s="11" t="s">
        <v>123</v>
      </c>
      <c r="E40" s="11" t="s">
        <v>124</v>
      </c>
      <c r="F40" s="11">
        <f>CEILING(BoardQty*1.0,1)</f>
        <v>100</v>
      </c>
      <c r="G40" s="12">
        <f>IF(MIN(K40,Q40)&lt;&gt;0,MIN(K40,Q40),"")</f>
        <v>0.983</v>
      </c>
      <c r="H40" s="13">
        <f>IF(AND(ISNUMBER(F40),ISNUMBER(G40)),F40*G40,"")</f>
        <v>98.3</v>
      </c>
      <c r="O40" s="14" t="s">
        <v>139</v>
      </c>
      <c r="P40" s="11"/>
      <c r="Q40" s="12">
        <f>IFERROR(IF(OR(P40&gt;=R40,F40&gt;=R40),LOOKUP(IF(P40="",F40,P40),{0,1,10,50,100,1000,10000},{0.0,1.34,1.19,1.12,0.983,0.776,0.75}),"MOQ="&amp;R40),"")</f>
        <v>0.983</v>
      </c>
      <c r="R40" s="11">
        <v>1</v>
      </c>
      <c r="S40" s="13">
        <f>IFERROR(IF(P40="",F40,P40)*Q40,"")</f>
        <v>98.3</v>
      </c>
      <c r="T40" s="11" t="s">
        <v>197</v>
      </c>
    </row>
    <row r="41" spans="1:20" ht="30" customHeight="1">
      <c r="A41" s="11" t="s">
        <v>125</v>
      </c>
      <c r="B41" s="11" t="s">
        <v>126</v>
      </c>
      <c r="C41" s="11" t="s">
        <v>127</v>
      </c>
      <c r="D41" s="11" t="s">
        <v>128</v>
      </c>
      <c r="E41" s="11" t="s">
        <v>126</v>
      </c>
      <c r="F41" s="11">
        <f>CEILING(BoardQty*1.0,1)</f>
        <v>100</v>
      </c>
      <c r="G41" s="12">
        <f>IF(MIN(K41,Q41)&lt;&gt;0,MIN(K41,Q41),"")</f>
        <v>0.475</v>
      </c>
      <c r="H41" s="13">
        <f>IF(AND(ISNUMBER(F41),ISNUMBER(G41)),F41*G41,"")</f>
        <v>47.5</v>
      </c>
      <c r="I41" s="11">
        <v>6764</v>
      </c>
      <c r="J41" s="11"/>
      <c r="K41" s="12">
        <f>IFERROR(IF(OR(J41&gt;=L41,F41&gt;=L41),LOOKUP(IF(J41="",F41,J41),{0,1,10,50,100,500,1000,3000},{0.0,0.8,0.708,0.6622,0.5852,0.5544,0.462,0.4466}),"MOQ="&amp;L41),"")</f>
        <v>0.5852</v>
      </c>
      <c r="L41" s="11">
        <v>1</v>
      </c>
      <c r="M41" s="13">
        <f>IFERROR(IF(J41="",F41,J41)*K41,"")</f>
        <v>58.52</v>
      </c>
      <c r="N41" s="11" t="s">
        <v>165</v>
      </c>
      <c r="O41" s="11">
        <v>8060</v>
      </c>
      <c r="P41" s="11"/>
      <c r="Q41" s="12">
        <f>IFERROR(IF(OR(P41&gt;=R41,F41&gt;=R41),LOOKUP(IF(P41="",F41,P41),{0,1,10,50,100,1000,10000},{0.0,0.65,0.575,0.575,0.475,0.375,0.362}),"MOQ="&amp;R41),"")</f>
        <v>0.475</v>
      </c>
      <c r="R41" s="11">
        <v>1</v>
      </c>
      <c r="S41" s="13">
        <f>IFERROR(IF(P41="",F41,P41)*Q41,"")</f>
        <v>47.5</v>
      </c>
      <c r="T41" s="11" t="s">
        <v>198</v>
      </c>
    </row>
    <row r="43" spans="1:20">
      <c r="G43" s="1" t="s">
        <v>199</v>
      </c>
      <c r="H43" s="5">
        <f>SUM(M43,S43)</f>
        <v>0</v>
      </c>
      <c r="I43" s="15" t="s">
        <v>166</v>
      </c>
      <c r="J43" s="6">
        <f>IFERROR(IF(COUNTIF(J7:J41,"&gt;0")&gt;0,COUNTIF(J7:J41,"&gt;0")&amp;" of "&amp;(ROWS(L7:L41)-COUNTBLANK(L7:L41))&amp;" parts purchased",""),"")</f>
        <v/>
      </c>
      <c r="M43" s="5">
        <f>SUMIF(J7:J41,"&gt;0",M7:M41)</f>
        <v>0</v>
      </c>
      <c r="O43" s="15" t="s">
        <v>166</v>
      </c>
      <c r="P43" s="6">
        <f>IFERROR(IF(COUNTIF(P7:P41,"&gt;0")&gt;0,COUNTIF(P7:P41,"&gt;0")&amp;" of "&amp;(ROWS(R7:R41)-COUNTBLANK(R7:R41))&amp;" parts purchased",""),"")</f>
        <v/>
      </c>
      <c r="S43" s="5">
        <f>SUMIF(P7:P41,"&gt;0",S7:S41)</f>
        <v>0</v>
      </c>
    </row>
    <row r="44" spans="1:20">
      <c r="A44" s="2" t="s">
        <v>212</v>
      </c>
      <c r="G44" s="16" t="s">
        <v>200</v>
      </c>
      <c r="J44" s="17">
        <f>CONCATENATE(J80,J81,J82,J83,J84,J85,J86,J87,J88,J89,J90,J91,J92,J93,J94,J95,J96,J97,J98,J99,J100,J101,J102,J103,J104,J105,J106,J107,J108,J109,J110,J111,J112,J113,J114)</f>
        <v/>
      </c>
      <c r="P44" s="17">
        <f>CONCATENATE(P80,P81,P82,P83,P84,P85,P86,P87,P88,P89,P90,P91,P92,P93,P94,P95,P96,P97,P98,P99,P100,P101,P102,P103,P104,P105,P106,P107,P108,P109,P110,P111,P112,P113,P114)</f>
        <v/>
      </c>
    </row>
    <row r="80" spans="10:16" ht="30" hidden="1" customHeight="1">
      <c r="J80" t="str">
        <f t="array" ref="J80:J114">IF(ISNUMBER(J7:J41)*(J7:J41&gt;=L7:L41)*(N7:N41&lt;&gt;""),TEXT(ROUNDUP(J7:J41/IF(ISNUMBER(L7:L41),L7:L41,1))*L7:L41,"##0")&amp;","&amp;N7:N41&amp;","&amp;SUBSTITUTE(SUBSTITUTE(IF(PURCHASE_DESCRIPTION&lt;&gt;"",PURCHASE_DESCRIPTION&amp;":","")&amp;A7:A41,",",";"),"
"," ")&amp;CHAR(10),"")</f>
        <v/>
      </c>
      <c r="P80" t="str">
        <f t="array" ref="P80:P114">IF(ISNUMBER(P7:P41)*(P7:P41&gt;=R7:R41)*(T7:T41&lt;&gt;""),T7:T41&amp;"|"&amp;TEXT(ROUNDUP(P7:P41/IF(ISNUMBER(R7:R41),R7:R41,1))*R7:R41,"##0")&amp;"|"&amp;SUBSTITUTE(SUBSTITUTE(SUBSTITUTE(IF(PURCHASE_DESCRIPTION&lt;&gt;"",PURCHASE_DESCRIPTION&amp;":","")&amp;A7:A41,"|",";")," ","_"),"
","_")&amp;CHAR(10),"")</f>
        <v/>
      </c>
    </row>
    <row r="81" spans="10:16" ht="30" hidden="1" customHeight="1">
      <c r="J81">
        <v>0</v>
      </c>
      <c r="P81">
        <v>0</v>
      </c>
    </row>
    <row r="82" spans="10:16" ht="30" hidden="1" customHeight="1">
      <c r="J82">
        <v>0</v>
      </c>
      <c r="P82">
        <v>0</v>
      </c>
    </row>
    <row r="83" spans="10:16" ht="30" hidden="1" customHeight="1">
      <c r="J83">
        <v>0</v>
      </c>
      <c r="P83">
        <v>0</v>
      </c>
    </row>
    <row r="84" spans="10:16" ht="30" hidden="1" customHeight="1">
      <c r="J84">
        <v>0</v>
      </c>
      <c r="P84">
        <v>0</v>
      </c>
    </row>
    <row r="85" spans="10:16" ht="30" hidden="1" customHeight="1">
      <c r="J85">
        <v>0</v>
      </c>
      <c r="P85">
        <v>0</v>
      </c>
    </row>
    <row r="86" spans="10:16" ht="30" hidden="1" customHeight="1">
      <c r="J86">
        <v>0</v>
      </c>
      <c r="P86">
        <v>0</v>
      </c>
    </row>
    <row r="87" spans="10:16" ht="30" hidden="1" customHeight="1">
      <c r="J87">
        <v>0</v>
      </c>
      <c r="P87">
        <v>0</v>
      </c>
    </row>
    <row r="88" spans="10:16" ht="30" hidden="1" customHeight="1">
      <c r="J88">
        <v>0</v>
      </c>
      <c r="P88">
        <v>0</v>
      </c>
    </row>
    <row r="89" spans="10:16" ht="30" hidden="1" customHeight="1">
      <c r="J89">
        <v>0</v>
      </c>
      <c r="P89">
        <v>0</v>
      </c>
    </row>
    <row r="90" spans="10:16" ht="30" hidden="1" customHeight="1">
      <c r="J90">
        <v>0</v>
      </c>
      <c r="P90">
        <v>0</v>
      </c>
    </row>
    <row r="91" spans="10:16" ht="30" hidden="1" customHeight="1">
      <c r="J91">
        <v>0</v>
      </c>
      <c r="P91">
        <v>0</v>
      </c>
    </row>
    <row r="92" spans="10:16" ht="30" hidden="1" customHeight="1">
      <c r="J92">
        <v>0</v>
      </c>
      <c r="P92">
        <v>0</v>
      </c>
    </row>
    <row r="93" spans="10:16" ht="30" hidden="1" customHeight="1">
      <c r="J93">
        <v>0</v>
      </c>
      <c r="P93">
        <v>0</v>
      </c>
    </row>
    <row r="94" spans="10:16" ht="30" hidden="1" customHeight="1">
      <c r="J94">
        <v>0</v>
      </c>
      <c r="P94">
        <v>0</v>
      </c>
    </row>
    <row r="95" spans="10:16" ht="30" hidden="1" customHeight="1">
      <c r="J95">
        <v>0</v>
      </c>
      <c r="P95">
        <v>0</v>
      </c>
    </row>
    <row r="96" spans="10:16" ht="30" hidden="1" customHeight="1">
      <c r="J96">
        <v>0</v>
      </c>
      <c r="P96">
        <v>0</v>
      </c>
    </row>
    <row r="97" spans="10:16" ht="30" hidden="1" customHeight="1">
      <c r="J97">
        <v>0</v>
      </c>
      <c r="P97">
        <v>0</v>
      </c>
    </row>
    <row r="98" spans="10:16" ht="30" hidden="1" customHeight="1">
      <c r="J98">
        <v>0</v>
      </c>
      <c r="P98">
        <v>0</v>
      </c>
    </row>
    <row r="99" spans="10:16" ht="30" hidden="1" customHeight="1">
      <c r="J99">
        <v>0</v>
      </c>
      <c r="P99">
        <v>0</v>
      </c>
    </row>
    <row r="100" spans="10:16" ht="30" hidden="1" customHeight="1">
      <c r="J100">
        <v>0</v>
      </c>
      <c r="P100">
        <v>0</v>
      </c>
    </row>
    <row r="101" spans="10:16" ht="30" hidden="1" customHeight="1">
      <c r="J101">
        <v>0</v>
      </c>
      <c r="P101">
        <v>0</v>
      </c>
    </row>
    <row r="102" spans="10:16" ht="30" hidden="1" customHeight="1">
      <c r="J102">
        <v>0</v>
      </c>
      <c r="P102">
        <v>0</v>
      </c>
    </row>
    <row r="103" spans="10:16" ht="30" hidden="1" customHeight="1">
      <c r="J103">
        <v>0</v>
      </c>
      <c r="P103">
        <v>0</v>
      </c>
    </row>
    <row r="104" spans="10:16" ht="30" hidden="1" customHeight="1">
      <c r="J104">
        <v>0</v>
      </c>
      <c r="P104">
        <v>0</v>
      </c>
    </row>
    <row r="105" spans="10:16" ht="30" hidden="1" customHeight="1">
      <c r="J105">
        <v>0</v>
      </c>
      <c r="P105">
        <v>0</v>
      </c>
    </row>
    <row r="106" spans="10:16" ht="30" hidden="1" customHeight="1">
      <c r="J106">
        <v>0</v>
      </c>
      <c r="P106">
        <v>0</v>
      </c>
    </row>
    <row r="107" spans="10:16" ht="30" hidden="1" customHeight="1">
      <c r="J107">
        <v>0</v>
      </c>
      <c r="P107">
        <v>0</v>
      </c>
    </row>
    <row r="108" spans="10:16" ht="30" hidden="1" customHeight="1">
      <c r="J108">
        <v>0</v>
      </c>
      <c r="P108">
        <v>0</v>
      </c>
    </row>
    <row r="109" spans="10:16" ht="30" hidden="1" customHeight="1">
      <c r="J109">
        <v>0</v>
      </c>
      <c r="P109">
        <v>0</v>
      </c>
    </row>
    <row r="110" spans="10:16" ht="30" hidden="1" customHeight="1">
      <c r="J110">
        <v>0</v>
      </c>
      <c r="P110">
        <v>0</v>
      </c>
    </row>
    <row r="111" spans="10:16" ht="30" hidden="1" customHeight="1">
      <c r="J111">
        <v>0</v>
      </c>
      <c r="P111">
        <v>0</v>
      </c>
    </row>
    <row r="112" spans="10:16" ht="30" hidden="1" customHeight="1">
      <c r="J112">
        <v>0</v>
      </c>
      <c r="P112">
        <v>0</v>
      </c>
    </row>
    <row r="113" spans="10:16" ht="30" hidden="1" customHeight="1">
      <c r="J113">
        <v>0</v>
      </c>
      <c r="P113">
        <v>0</v>
      </c>
    </row>
    <row r="114" spans="10:16" ht="30" hidden="1" customHeight="1">
      <c r="J114">
        <v>0</v>
      </c>
      <c r="P114">
        <v>0</v>
      </c>
    </row>
  </sheetData>
  <mergeCells count="5">
    <mergeCell ref="A5:H5"/>
    <mergeCell ref="I5:N5"/>
    <mergeCell ref="J44:M79"/>
    <mergeCell ref="O5:T5"/>
    <mergeCell ref="P44:S79"/>
  </mergeCells>
  <conditionalFormatting sqref="F10">
    <cfRule type="expression" dxfId="4" priority="281">
      <formula>AND(ISBLANK(E10),ISBLANK(M10),ISBLANK(S10))</formula>
    </cfRule>
    <cfRule type="expression" dxfId="1" priority="282">
      <formula>IF(SUM(I10,O10)=0,1,0)</formula>
    </cfRule>
    <cfRule type="cellIs" dxfId="0" priority="283" operator="greaterThan">
      <formula>SUM(I10,O10)</formula>
    </cfRule>
    <cfRule type="cellIs" dxfId="3" priority="284" operator="greaterThan">
      <formula>SUM(IF(ISNUMBER(K10),J10,0),IF(ISNUMBER(Q10),P10,0))</formula>
    </cfRule>
  </conditionalFormatting>
  <conditionalFormatting sqref="F11">
    <cfRule type="expression" dxfId="4" priority="285">
      <formula>AND(ISBLANK(E11),ISBLANK(M11),ISBLANK(S11))</formula>
    </cfRule>
    <cfRule type="expression" dxfId="1" priority="286">
      <formula>IF(SUM(I11,O11)=0,1,0)</formula>
    </cfRule>
    <cfRule type="cellIs" dxfId="0" priority="287" operator="greaterThan">
      <formula>SUM(I11,O11)</formula>
    </cfRule>
    <cfRule type="cellIs" dxfId="3" priority="288" operator="greaterThan">
      <formula>SUM(IF(ISNUMBER(K11),J11,0),IF(ISNUMBER(Q11),P11,0))</formula>
    </cfRule>
  </conditionalFormatting>
  <conditionalFormatting sqref="F12">
    <cfRule type="expression" dxfId="4" priority="289">
      <formula>AND(ISBLANK(E12),ISBLANK(M12),ISBLANK(S12))</formula>
    </cfRule>
    <cfRule type="expression" dxfId="1" priority="290">
      <formula>IF(SUM(I12,O12)=0,1,0)</formula>
    </cfRule>
    <cfRule type="cellIs" dxfId="0" priority="291" operator="greaterThan">
      <formula>SUM(I12,O12)</formula>
    </cfRule>
    <cfRule type="cellIs" dxfId="3" priority="292" operator="greaterThan">
      <formula>SUM(IF(ISNUMBER(K12),J12,0),IF(ISNUMBER(Q12),P12,0))</formula>
    </cfRule>
  </conditionalFormatting>
  <conditionalFormatting sqref="F13">
    <cfRule type="expression" dxfId="4" priority="293">
      <formula>AND(ISBLANK(E13),ISBLANK(M13),ISBLANK(S13))</formula>
    </cfRule>
    <cfRule type="expression" dxfId="1" priority="294">
      <formula>IF(SUM(I13,O13)=0,1,0)</formula>
    </cfRule>
    <cfRule type="cellIs" dxfId="0" priority="295" operator="greaterThan">
      <formula>SUM(I13,O13)</formula>
    </cfRule>
    <cfRule type="cellIs" dxfId="3" priority="296" operator="greaterThan">
      <formula>SUM(IF(ISNUMBER(K13),J13,0),IF(ISNUMBER(Q13),P13,0))</formula>
    </cfRule>
  </conditionalFormatting>
  <conditionalFormatting sqref="F14">
    <cfRule type="expression" dxfId="4" priority="297">
      <formula>AND(ISBLANK(E14),ISBLANK(M14),ISBLANK(S14))</formula>
    </cfRule>
    <cfRule type="expression" dxfId="1" priority="298">
      <formula>IF(SUM(I14,O14)=0,1,0)</formula>
    </cfRule>
    <cfRule type="cellIs" dxfId="0" priority="299" operator="greaterThan">
      <formula>SUM(I14,O14)</formula>
    </cfRule>
    <cfRule type="cellIs" dxfId="3" priority="300" operator="greaterThan">
      <formula>SUM(IF(ISNUMBER(K14),J14,0),IF(ISNUMBER(Q14),P14,0))</formula>
    </cfRule>
  </conditionalFormatting>
  <conditionalFormatting sqref="F15">
    <cfRule type="expression" dxfId="4" priority="301">
      <formula>AND(ISBLANK(E15),ISBLANK(M15),ISBLANK(S15))</formula>
    </cfRule>
    <cfRule type="expression" dxfId="1" priority="302">
      <formula>IF(SUM(I15,O15)=0,1,0)</formula>
    </cfRule>
    <cfRule type="cellIs" dxfId="0" priority="303" operator="greaterThan">
      <formula>SUM(I15,O15)</formula>
    </cfRule>
    <cfRule type="cellIs" dxfId="3" priority="304" operator="greaterThan">
      <formula>SUM(IF(ISNUMBER(K15),J15,0),IF(ISNUMBER(Q15),P15,0))</formula>
    </cfRule>
  </conditionalFormatting>
  <conditionalFormatting sqref="F16">
    <cfRule type="expression" dxfId="4" priority="305">
      <formula>AND(ISBLANK(E16),ISBLANK(M16),ISBLANK(S16))</formula>
    </cfRule>
    <cfRule type="expression" dxfId="1" priority="306">
      <formula>IF(SUM(I16,O16)=0,1,0)</formula>
    </cfRule>
    <cfRule type="cellIs" dxfId="0" priority="307" operator="greaterThan">
      <formula>SUM(I16,O16)</formula>
    </cfRule>
    <cfRule type="cellIs" dxfId="3" priority="308" operator="greaterThan">
      <formula>SUM(IF(ISNUMBER(K16),J16,0),IF(ISNUMBER(Q16),P16,0))</formula>
    </cfRule>
  </conditionalFormatting>
  <conditionalFormatting sqref="F17">
    <cfRule type="expression" dxfId="4" priority="309">
      <formula>AND(ISBLANK(E17),ISBLANK(M17),ISBLANK(S17))</formula>
    </cfRule>
    <cfRule type="expression" dxfId="1" priority="310">
      <formula>IF(SUM(I17,O17)=0,1,0)</formula>
    </cfRule>
    <cfRule type="cellIs" dxfId="0" priority="311" operator="greaterThan">
      <formula>SUM(I17,O17)</formula>
    </cfRule>
    <cfRule type="cellIs" dxfId="3" priority="312" operator="greaterThan">
      <formula>SUM(IF(ISNUMBER(K17),J17,0),IF(ISNUMBER(Q17),P17,0))</formula>
    </cfRule>
  </conditionalFormatting>
  <conditionalFormatting sqref="F18">
    <cfRule type="expression" dxfId="4" priority="313">
      <formula>AND(ISBLANK(E18),ISBLANK(M18),ISBLANK(S18))</formula>
    </cfRule>
    <cfRule type="expression" dxfId="1" priority="314">
      <formula>IF(SUM(I18,O18)=0,1,0)</formula>
    </cfRule>
    <cfRule type="cellIs" dxfId="0" priority="315" operator="greaterThan">
      <formula>SUM(I18,O18)</formula>
    </cfRule>
    <cfRule type="cellIs" dxfId="3" priority="316" operator="greaterThan">
      <formula>SUM(IF(ISNUMBER(K18),J18,0),IF(ISNUMBER(Q18),P18,0))</formula>
    </cfRule>
  </conditionalFormatting>
  <conditionalFormatting sqref="F19">
    <cfRule type="expression" dxfId="4" priority="317">
      <formula>AND(ISBLANK(E19),ISBLANK(M19),ISBLANK(S19))</formula>
    </cfRule>
    <cfRule type="expression" dxfId="1" priority="318">
      <formula>IF(SUM(I19,O19)=0,1,0)</formula>
    </cfRule>
    <cfRule type="cellIs" dxfId="0" priority="319" operator="greaterThan">
      <formula>SUM(I19,O19)</formula>
    </cfRule>
    <cfRule type="cellIs" dxfId="3" priority="320" operator="greaterThan">
      <formula>SUM(IF(ISNUMBER(K19),J19,0),IF(ISNUMBER(Q19),P19,0))</formula>
    </cfRule>
  </conditionalFormatting>
  <conditionalFormatting sqref="F20">
    <cfRule type="expression" dxfId="4" priority="321">
      <formula>AND(ISBLANK(E20),ISBLANK(M20),ISBLANK(S20))</formula>
    </cfRule>
    <cfRule type="expression" dxfId="1" priority="322">
      <formula>IF(SUM(I20,O20)=0,1,0)</formula>
    </cfRule>
    <cfRule type="cellIs" dxfId="0" priority="323" operator="greaterThan">
      <formula>SUM(I20,O20)</formula>
    </cfRule>
    <cfRule type="cellIs" dxfId="3" priority="324" operator="greaterThan">
      <formula>SUM(IF(ISNUMBER(K20),J20,0),IF(ISNUMBER(Q20),P20,0))</formula>
    </cfRule>
  </conditionalFormatting>
  <conditionalFormatting sqref="F21">
    <cfRule type="expression" dxfId="4" priority="325">
      <formula>AND(ISBLANK(E21),ISBLANK(M21),ISBLANK(S21))</formula>
    </cfRule>
    <cfRule type="expression" dxfId="1" priority="326">
      <formula>IF(SUM(I21,O21)=0,1,0)</formula>
    </cfRule>
    <cfRule type="cellIs" dxfId="0" priority="327" operator="greaterThan">
      <formula>SUM(I21,O21)</formula>
    </cfRule>
    <cfRule type="cellIs" dxfId="3" priority="328" operator="greaterThan">
      <formula>SUM(IF(ISNUMBER(K21),J21,0),IF(ISNUMBER(Q21),P21,0))</formula>
    </cfRule>
  </conditionalFormatting>
  <conditionalFormatting sqref="F22">
    <cfRule type="expression" dxfId="4" priority="329">
      <formula>AND(ISBLANK(E22),ISBLANK(M22),ISBLANK(S22))</formula>
    </cfRule>
    <cfRule type="expression" dxfId="1" priority="330">
      <formula>IF(SUM(I22,O22)=0,1,0)</formula>
    </cfRule>
    <cfRule type="cellIs" dxfId="0" priority="331" operator="greaterThan">
      <formula>SUM(I22,O22)</formula>
    </cfRule>
    <cfRule type="cellIs" dxfId="3" priority="332" operator="greaterThan">
      <formula>SUM(IF(ISNUMBER(K22),J22,0),IF(ISNUMBER(Q22),P22,0))</formula>
    </cfRule>
  </conditionalFormatting>
  <conditionalFormatting sqref="F23">
    <cfRule type="expression" dxfId="4" priority="333">
      <formula>AND(ISBLANK(E23),ISBLANK(M23),ISBLANK(S23))</formula>
    </cfRule>
    <cfRule type="expression" dxfId="1" priority="334">
      <formula>IF(SUM(I23,O23)=0,1,0)</formula>
    </cfRule>
    <cfRule type="cellIs" dxfId="0" priority="335" operator="greaterThan">
      <formula>SUM(I23,O23)</formula>
    </cfRule>
    <cfRule type="cellIs" dxfId="3" priority="336" operator="greaterThan">
      <formula>SUM(IF(ISNUMBER(K23),J23,0),IF(ISNUMBER(Q23),P23,0))</formula>
    </cfRule>
  </conditionalFormatting>
  <conditionalFormatting sqref="F24">
    <cfRule type="expression" dxfId="4" priority="337">
      <formula>AND(ISBLANK(E24),ISBLANK(M24),ISBLANK(S24))</formula>
    </cfRule>
    <cfRule type="expression" dxfId="1" priority="338">
      <formula>IF(SUM(I24,O24)=0,1,0)</formula>
    </cfRule>
    <cfRule type="cellIs" dxfId="0" priority="339" operator="greaterThan">
      <formula>SUM(I24,O24)</formula>
    </cfRule>
    <cfRule type="cellIs" dxfId="3" priority="340" operator="greaterThan">
      <formula>SUM(IF(ISNUMBER(K24),J24,0),IF(ISNUMBER(Q24),P24,0))</formula>
    </cfRule>
  </conditionalFormatting>
  <conditionalFormatting sqref="F25">
    <cfRule type="expression" dxfId="4" priority="341">
      <formula>AND(ISBLANK(E25),ISBLANK(M25),ISBLANK(S25))</formula>
    </cfRule>
    <cfRule type="expression" dxfId="1" priority="342">
      <formula>IF(SUM(I25,O25)=0,1,0)</formula>
    </cfRule>
    <cfRule type="cellIs" dxfId="0" priority="343" operator="greaterThan">
      <formula>SUM(I25,O25)</formula>
    </cfRule>
    <cfRule type="cellIs" dxfId="3" priority="344" operator="greaterThan">
      <formula>SUM(IF(ISNUMBER(K25),J25,0),IF(ISNUMBER(Q25),P25,0))</formula>
    </cfRule>
  </conditionalFormatting>
  <conditionalFormatting sqref="F26">
    <cfRule type="expression" dxfId="4" priority="345">
      <formula>AND(ISBLANK(E26),ISBLANK(M26),ISBLANK(S26))</formula>
    </cfRule>
    <cfRule type="expression" dxfId="1" priority="346">
      <formula>IF(SUM(I26,O26)=0,1,0)</formula>
    </cfRule>
    <cfRule type="cellIs" dxfId="0" priority="347" operator="greaterThan">
      <formula>SUM(I26,O26)</formula>
    </cfRule>
    <cfRule type="cellIs" dxfId="3" priority="348" operator="greaterThan">
      <formula>SUM(IF(ISNUMBER(K26),J26,0),IF(ISNUMBER(Q26),P26,0))</formula>
    </cfRule>
  </conditionalFormatting>
  <conditionalFormatting sqref="F27">
    <cfRule type="expression" dxfId="4" priority="349">
      <formula>AND(ISBLANK(E27),ISBLANK(M27),ISBLANK(S27))</formula>
    </cfRule>
    <cfRule type="expression" dxfId="1" priority="350">
      <formula>IF(SUM(I27,O27)=0,1,0)</formula>
    </cfRule>
    <cfRule type="cellIs" dxfId="0" priority="351" operator="greaterThan">
      <formula>SUM(I27,O27)</formula>
    </cfRule>
    <cfRule type="cellIs" dxfId="3" priority="352" operator="greaterThan">
      <formula>SUM(IF(ISNUMBER(K27),J27,0),IF(ISNUMBER(Q27),P27,0))</formula>
    </cfRule>
  </conditionalFormatting>
  <conditionalFormatting sqref="F28">
    <cfRule type="expression" dxfId="4" priority="353">
      <formula>AND(ISBLANK(E28),ISBLANK(M28),ISBLANK(S28))</formula>
    </cfRule>
    <cfRule type="expression" dxfId="1" priority="354">
      <formula>IF(SUM(I28,O28)=0,1,0)</formula>
    </cfRule>
    <cfRule type="cellIs" dxfId="0" priority="355" operator="greaterThan">
      <formula>SUM(I28,O28)</formula>
    </cfRule>
    <cfRule type="cellIs" dxfId="3" priority="356" operator="greaterThan">
      <formula>SUM(IF(ISNUMBER(K28),J28,0),IF(ISNUMBER(Q28),P28,0))</formula>
    </cfRule>
  </conditionalFormatting>
  <conditionalFormatting sqref="F29">
    <cfRule type="expression" dxfId="4" priority="357">
      <formula>AND(ISBLANK(E29),ISBLANK(M29),ISBLANK(S29))</formula>
    </cfRule>
    <cfRule type="expression" dxfId="1" priority="358">
      <formula>IF(SUM(I29,O29)=0,1,0)</formula>
    </cfRule>
    <cfRule type="cellIs" dxfId="0" priority="359" operator="greaterThan">
      <formula>SUM(I29,O29)</formula>
    </cfRule>
    <cfRule type="cellIs" dxfId="3" priority="360" operator="greaterThan">
      <formula>SUM(IF(ISNUMBER(K29),J29,0),IF(ISNUMBER(Q29),P29,0))</formula>
    </cfRule>
  </conditionalFormatting>
  <conditionalFormatting sqref="F30">
    <cfRule type="expression" dxfId="4" priority="361">
      <formula>AND(ISBLANK(E30),ISBLANK(M30),ISBLANK(S30))</formula>
    </cfRule>
    <cfRule type="expression" dxfId="1" priority="362">
      <formula>IF(SUM(I30,O30)=0,1,0)</formula>
    </cfRule>
    <cfRule type="cellIs" dxfId="0" priority="363" operator="greaterThan">
      <formula>SUM(I30,O30)</formula>
    </cfRule>
    <cfRule type="cellIs" dxfId="3" priority="364" operator="greaterThan">
      <formula>SUM(IF(ISNUMBER(K30),J30,0),IF(ISNUMBER(Q30),P30,0))</formula>
    </cfRule>
  </conditionalFormatting>
  <conditionalFormatting sqref="F31">
    <cfRule type="expression" dxfId="4" priority="365">
      <formula>AND(ISBLANK(E31),ISBLANK(M31),ISBLANK(S31))</formula>
    </cfRule>
    <cfRule type="expression" dxfId="1" priority="366">
      <formula>IF(SUM(I31,O31)=0,1,0)</formula>
    </cfRule>
    <cfRule type="cellIs" dxfId="0" priority="367" operator="greaterThan">
      <formula>SUM(I31,O31)</formula>
    </cfRule>
    <cfRule type="cellIs" dxfId="3" priority="368" operator="greaterThan">
      <formula>SUM(IF(ISNUMBER(K31),J31,0),IF(ISNUMBER(Q31),P31,0))</formula>
    </cfRule>
  </conditionalFormatting>
  <conditionalFormatting sqref="F32">
    <cfRule type="expression" dxfId="4" priority="369">
      <formula>AND(ISBLANK(E32),ISBLANK(M32),ISBLANK(S32))</formula>
    </cfRule>
    <cfRule type="expression" dxfId="1" priority="370">
      <formula>IF(SUM(I32,O32)=0,1,0)</formula>
    </cfRule>
    <cfRule type="cellIs" dxfId="0" priority="371" operator="greaterThan">
      <formula>SUM(I32,O32)</formula>
    </cfRule>
    <cfRule type="cellIs" dxfId="3" priority="372" operator="greaterThan">
      <formula>SUM(IF(ISNUMBER(K32),J32,0),IF(ISNUMBER(Q32),P32,0))</formula>
    </cfRule>
  </conditionalFormatting>
  <conditionalFormatting sqref="F33">
    <cfRule type="expression" dxfId="4" priority="373">
      <formula>AND(ISBLANK(E33),ISBLANK(M33),ISBLANK(S33))</formula>
    </cfRule>
    <cfRule type="expression" dxfId="1" priority="374">
      <formula>IF(SUM(I33,O33)=0,1,0)</formula>
    </cfRule>
    <cfRule type="cellIs" dxfId="0" priority="375" operator="greaterThan">
      <formula>SUM(I33,O33)</formula>
    </cfRule>
    <cfRule type="cellIs" dxfId="3" priority="376" operator="greaterThan">
      <formula>SUM(IF(ISNUMBER(K33),J33,0),IF(ISNUMBER(Q33),P33,0))</formula>
    </cfRule>
  </conditionalFormatting>
  <conditionalFormatting sqref="F34">
    <cfRule type="expression" dxfId="4" priority="377">
      <formula>AND(ISBLANK(E34),ISBLANK(M34),ISBLANK(S34))</formula>
    </cfRule>
    <cfRule type="expression" dxfId="1" priority="378">
      <formula>IF(SUM(I34,O34)=0,1,0)</formula>
    </cfRule>
    <cfRule type="cellIs" dxfId="0" priority="379" operator="greaterThan">
      <formula>SUM(I34,O34)</formula>
    </cfRule>
    <cfRule type="cellIs" dxfId="3" priority="380" operator="greaterThan">
      <formula>SUM(IF(ISNUMBER(K34),J34,0),IF(ISNUMBER(Q34),P34,0))</formula>
    </cfRule>
  </conditionalFormatting>
  <conditionalFormatting sqref="F35">
    <cfRule type="expression" dxfId="4" priority="381">
      <formula>AND(ISBLANK(E35),ISBLANK(M35),ISBLANK(S35))</formula>
    </cfRule>
    <cfRule type="expression" dxfId="1" priority="382">
      <formula>IF(SUM(I35,O35)=0,1,0)</formula>
    </cfRule>
    <cfRule type="cellIs" dxfId="0" priority="383" operator="greaterThan">
      <formula>SUM(I35,O35)</formula>
    </cfRule>
    <cfRule type="cellIs" dxfId="3" priority="384" operator="greaterThan">
      <formula>SUM(IF(ISNUMBER(K35),J35,0),IF(ISNUMBER(Q35),P35,0))</formula>
    </cfRule>
  </conditionalFormatting>
  <conditionalFormatting sqref="F36">
    <cfRule type="expression" dxfId="4" priority="385">
      <formula>AND(ISBLANK(E36),ISBLANK(M36),ISBLANK(S36))</formula>
    </cfRule>
    <cfRule type="expression" dxfId="1" priority="386">
      <formula>IF(SUM(I36,O36)=0,1,0)</formula>
    </cfRule>
    <cfRule type="cellIs" dxfId="0" priority="387" operator="greaterThan">
      <formula>SUM(I36,O36)</formula>
    </cfRule>
    <cfRule type="cellIs" dxfId="3" priority="388" operator="greaterThan">
      <formula>SUM(IF(ISNUMBER(K36),J36,0),IF(ISNUMBER(Q36),P36,0))</formula>
    </cfRule>
  </conditionalFormatting>
  <conditionalFormatting sqref="F37">
    <cfRule type="expression" dxfId="4" priority="389">
      <formula>AND(ISBLANK(E37),ISBLANK(M37),ISBLANK(S37))</formula>
    </cfRule>
    <cfRule type="expression" dxfId="1" priority="390">
      <formula>IF(SUM(I37,O37)=0,1,0)</formula>
    </cfRule>
    <cfRule type="cellIs" dxfId="0" priority="391" operator="greaterThan">
      <formula>SUM(I37,O37)</formula>
    </cfRule>
    <cfRule type="cellIs" dxfId="3" priority="392" operator="greaterThan">
      <formula>SUM(IF(ISNUMBER(K37),J37,0),IF(ISNUMBER(Q37),P37,0))</formula>
    </cfRule>
  </conditionalFormatting>
  <conditionalFormatting sqref="F38">
    <cfRule type="expression" dxfId="4" priority="393">
      <formula>AND(ISBLANK(E38),ISBLANK(M38),ISBLANK(S38))</formula>
    </cfRule>
    <cfRule type="expression" dxfId="1" priority="394">
      <formula>IF(SUM(I38,O38)=0,1,0)</formula>
    </cfRule>
    <cfRule type="cellIs" dxfId="0" priority="395" operator="greaterThan">
      <formula>SUM(I38,O38)</formula>
    </cfRule>
    <cfRule type="cellIs" dxfId="3" priority="396" operator="greaterThan">
      <formula>SUM(IF(ISNUMBER(K38),J38,0),IF(ISNUMBER(Q38),P38,0))</formula>
    </cfRule>
  </conditionalFormatting>
  <conditionalFormatting sqref="F39">
    <cfRule type="expression" dxfId="4" priority="397">
      <formula>AND(ISBLANK(E39),ISBLANK(M39),ISBLANK(S39))</formula>
    </cfRule>
    <cfRule type="expression" dxfId="1" priority="398">
      <formula>IF(SUM(I39,O39)=0,1,0)</formula>
    </cfRule>
    <cfRule type="cellIs" dxfId="0" priority="399" operator="greaterThan">
      <formula>SUM(I39,O39)</formula>
    </cfRule>
    <cfRule type="cellIs" dxfId="3" priority="400" operator="greaterThan">
      <formula>SUM(IF(ISNUMBER(K39),J39,0),IF(ISNUMBER(Q39),P39,0))</formula>
    </cfRule>
  </conditionalFormatting>
  <conditionalFormatting sqref="F40">
    <cfRule type="expression" dxfId="4" priority="401">
      <formula>AND(ISBLANK(E40),ISBLANK(M40),ISBLANK(S40))</formula>
    </cfRule>
    <cfRule type="expression" dxfId="1" priority="402">
      <formula>IF(SUM(I40,O40)=0,1,0)</formula>
    </cfRule>
    <cfRule type="cellIs" dxfId="0" priority="403" operator="greaterThan">
      <formula>SUM(I40,O40)</formula>
    </cfRule>
    <cfRule type="cellIs" dxfId="3" priority="404" operator="greaterThan">
      <formula>SUM(IF(ISNUMBER(K40),J40,0),IF(ISNUMBER(Q40),P40,0))</formula>
    </cfRule>
  </conditionalFormatting>
  <conditionalFormatting sqref="F41">
    <cfRule type="expression" dxfId="4" priority="405">
      <formula>AND(ISBLANK(E41),ISBLANK(M41),ISBLANK(S41))</formula>
    </cfRule>
    <cfRule type="expression" dxfId="1" priority="406">
      <formula>IF(SUM(I41,O41)=0,1,0)</formula>
    </cfRule>
    <cfRule type="cellIs" dxfId="0" priority="407" operator="greaterThan">
      <formula>SUM(I41,O41)</formula>
    </cfRule>
    <cfRule type="cellIs" dxfId="3" priority="408" operator="greaterThan">
      <formula>SUM(IF(ISNUMBER(K41),J41,0),IF(ISNUMBER(Q41),P41,0))</formula>
    </cfRule>
  </conditionalFormatting>
  <conditionalFormatting sqref="F7">
    <cfRule type="expression" dxfId="4" priority="269">
      <formula>AND(ISBLANK(E7),ISBLANK(M7),ISBLANK(S7))</formula>
    </cfRule>
    <cfRule type="expression" dxfId="1" priority="270">
      <formula>IF(SUM(I7,O7)=0,1,0)</formula>
    </cfRule>
    <cfRule type="cellIs" dxfId="0" priority="271" operator="greaterThan">
      <formula>SUM(I7,O7)</formula>
    </cfRule>
    <cfRule type="cellIs" dxfId="3" priority="272" operator="greaterThan">
      <formula>SUM(IF(ISNUMBER(K7),J7,0),IF(ISNUMBER(Q7),P7,0))</formula>
    </cfRule>
  </conditionalFormatting>
  <conditionalFormatting sqref="F8">
    <cfRule type="expression" dxfId="4" priority="273">
      <formula>AND(ISBLANK(E8),ISBLANK(M8),ISBLANK(S8))</formula>
    </cfRule>
    <cfRule type="expression" dxfId="1" priority="274">
      <formula>IF(SUM(I8,O8)=0,1,0)</formula>
    </cfRule>
    <cfRule type="cellIs" dxfId="0" priority="275" operator="greaterThan">
      <formula>SUM(I8,O8)</formula>
    </cfRule>
    <cfRule type="cellIs" dxfId="3" priority="276" operator="greaterThan">
      <formula>SUM(IF(ISNUMBER(K8),J8,0),IF(ISNUMBER(Q8),P8,0))</formula>
    </cfRule>
  </conditionalFormatting>
  <conditionalFormatting sqref="F9">
    <cfRule type="expression" dxfId="4" priority="277">
      <formula>AND(ISBLANK(E9),ISBLANK(M9),ISBLANK(S9))</formula>
    </cfRule>
    <cfRule type="expression" dxfId="1" priority="278">
      <formula>IF(SUM(I9,O9)=0,1,0)</formula>
    </cfRule>
    <cfRule type="cellIs" dxfId="0" priority="279" operator="greaterThan">
      <formula>SUM(I9,O9)</formula>
    </cfRule>
    <cfRule type="cellIs" dxfId="3" priority="280" operator="greaterThan">
      <formula>SUM(IF(ISNUMBER(K9),J9,0),IF(ISNUMBER(Q9),P9,0))</formula>
    </cfRule>
  </conditionalFormatting>
  <conditionalFormatting sqref="I10">
    <cfRule type="cellIs" dxfId="0" priority="13" operator="lessThan">
      <formula>F10</formula>
    </cfRule>
  </conditionalFormatting>
  <conditionalFormatting sqref="I11">
    <cfRule type="cellIs" dxfId="0" priority="17" operator="lessThan">
      <formula>F11</formula>
    </cfRule>
  </conditionalFormatting>
  <conditionalFormatting sqref="I12">
    <cfRule type="cellIs" dxfId="0" priority="25" operator="lessThan">
      <formula>F12</formula>
    </cfRule>
  </conditionalFormatting>
  <conditionalFormatting sqref="I13">
    <cfRule type="cellIs" dxfId="0" priority="29" operator="lessThan">
      <formula>F13</formula>
    </cfRule>
  </conditionalFormatting>
  <conditionalFormatting sqref="I14">
    <cfRule type="cellIs" dxfId="0" priority="33" operator="lessThan">
      <formula>F14</formula>
    </cfRule>
  </conditionalFormatting>
  <conditionalFormatting sqref="I15">
    <cfRule type="cellIs" dxfId="0" priority="37" operator="lessThan">
      <formula>F15</formula>
    </cfRule>
  </conditionalFormatting>
  <conditionalFormatting sqref="I16">
    <cfRule type="cellIs" dxfId="0" priority="41" operator="lessThan">
      <formula>F16</formula>
    </cfRule>
  </conditionalFormatting>
  <conditionalFormatting sqref="I17">
    <cfRule type="cellIs" dxfId="0" priority="45" operator="lessThan">
      <formula>F17</formula>
    </cfRule>
  </conditionalFormatting>
  <conditionalFormatting sqref="I18">
    <cfRule type="cellIs" dxfId="0" priority="49" operator="lessThan">
      <formula>F18</formula>
    </cfRule>
  </conditionalFormatting>
  <conditionalFormatting sqref="I19">
    <cfRule type="cellIs" dxfId="0" priority="53" operator="lessThan">
      <formula>F19</formula>
    </cfRule>
  </conditionalFormatting>
  <conditionalFormatting sqref="I20">
    <cfRule type="cellIs" dxfId="0" priority="57" operator="lessThan">
      <formula>F20</formula>
    </cfRule>
  </conditionalFormatting>
  <conditionalFormatting sqref="I21">
    <cfRule type="cellIs" dxfId="0" priority="61" operator="lessThan">
      <formula>F21</formula>
    </cfRule>
  </conditionalFormatting>
  <conditionalFormatting sqref="I22">
    <cfRule type="cellIs" dxfId="0" priority="65" operator="lessThan">
      <formula>F22</formula>
    </cfRule>
  </conditionalFormatting>
  <conditionalFormatting sqref="I24">
    <cfRule type="cellIs" dxfId="0" priority="69" operator="lessThan">
      <formula>F24</formula>
    </cfRule>
  </conditionalFormatting>
  <conditionalFormatting sqref="I25">
    <cfRule type="cellIs" dxfId="0" priority="73" operator="lessThan">
      <formula>F25</formula>
    </cfRule>
  </conditionalFormatting>
  <conditionalFormatting sqref="I26">
    <cfRule type="cellIs" dxfId="0" priority="77" operator="lessThan">
      <formula>F26</formula>
    </cfRule>
  </conditionalFormatting>
  <conditionalFormatting sqref="I27">
    <cfRule type="cellIs" dxfId="0" priority="81" operator="lessThan">
      <formula>F27</formula>
    </cfRule>
  </conditionalFormatting>
  <conditionalFormatting sqref="I28">
    <cfRule type="cellIs" dxfId="0" priority="85" operator="lessThan">
      <formula>F28</formula>
    </cfRule>
  </conditionalFormatting>
  <conditionalFormatting sqref="I29">
    <cfRule type="cellIs" dxfId="0" priority="93" operator="lessThan">
      <formula>F29</formula>
    </cfRule>
  </conditionalFormatting>
  <conditionalFormatting sqref="I30">
    <cfRule type="cellIs" dxfId="0" priority="97" operator="lessThan">
      <formula>F30</formula>
    </cfRule>
  </conditionalFormatting>
  <conditionalFormatting sqref="I31">
    <cfRule type="cellIs" dxfId="0" priority="101" operator="lessThan">
      <formula>F31</formula>
    </cfRule>
  </conditionalFormatting>
  <conditionalFormatting sqref="I32">
    <cfRule type="cellIs" dxfId="0" priority="105" operator="lessThan">
      <formula>F32</formula>
    </cfRule>
  </conditionalFormatting>
  <conditionalFormatting sqref="I33">
    <cfRule type="cellIs" dxfId="0" priority="109" operator="lessThan">
      <formula>F33</formula>
    </cfRule>
  </conditionalFormatting>
  <conditionalFormatting sqref="I35">
    <cfRule type="cellIs" dxfId="0" priority="113" operator="lessThan">
      <formula>F35</formula>
    </cfRule>
  </conditionalFormatting>
  <conditionalFormatting sqref="I36">
    <cfRule type="cellIs" dxfId="0" priority="117" operator="lessThan">
      <formula>F36</formula>
    </cfRule>
  </conditionalFormatting>
  <conditionalFormatting sqref="I37">
    <cfRule type="cellIs" dxfId="0" priority="121" operator="lessThan">
      <formula>F37</formula>
    </cfRule>
  </conditionalFormatting>
  <conditionalFormatting sqref="I38">
    <cfRule type="cellIs" dxfId="0" priority="125" operator="lessThan">
      <formula>F38</formula>
    </cfRule>
  </conditionalFormatting>
  <conditionalFormatting sqref="I39">
    <cfRule type="cellIs" dxfId="0" priority="133" operator="lessThan">
      <formula>F39</formula>
    </cfRule>
  </conditionalFormatting>
  <conditionalFormatting sqref="I41">
    <cfRule type="cellIs" dxfId="0" priority="137" operator="lessThan">
      <formula>F41</formula>
    </cfRule>
  </conditionalFormatting>
  <conditionalFormatting sqref="I7">
    <cfRule type="cellIs" dxfId="0" priority="1" operator="lessThan">
      <formula>F7</formula>
    </cfRule>
  </conditionalFormatting>
  <conditionalFormatting sqref="I8">
    <cfRule type="cellIs" dxfId="0" priority="5" operator="lessThan">
      <formula>F8</formula>
    </cfRule>
  </conditionalFormatting>
  <conditionalFormatting sqref="I9">
    <cfRule type="cellIs" dxfId="0" priority="9" operator="lessThan">
      <formula>F9</formula>
    </cfRule>
  </conditionalFormatting>
  <conditionalFormatting sqref="J10">
    <cfRule type="expression" dxfId="1" priority="14">
      <formula>AND(NOT(ISBLANK(J10)),OR(I10="NonStk",J10&gt;I10))</formula>
    </cfRule>
  </conditionalFormatting>
  <conditionalFormatting sqref="J11">
    <cfRule type="expression" dxfId="3" priority="18">
      <formula>AND(J11&gt;0,MOD(J11,L11)&lt;&gt;0)</formula>
    </cfRule>
    <cfRule type="expression" dxfId="1" priority="19">
      <formula>AND(NOT(ISBLANK(J11)),OR(I11="NonStk",J11&gt;I11))</formula>
    </cfRule>
  </conditionalFormatting>
  <conditionalFormatting sqref="J12">
    <cfRule type="expression" dxfId="1" priority="26">
      <formula>AND(NOT(ISBLANK(J12)),OR(I12="NonStk",J12&gt;I12))</formula>
    </cfRule>
  </conditionalFormatting>
  <conditionalFormatting sqref="J13">
    <cfRule type="expression" dxfId="1" priority="30">
      <formula>AND(NOT(ISBLANK(J13)),OR(I13="NonStk",J13&gt;I13))</formula>
    </cfRule>
  </conditionalFormatting>
  <conditionalFormatting sqref="J14">
    <cfRule type="expression" dxfId="1" priority="34">
      <formula>AND(NOT(ISBLANK(J14)),OR(I14="NonStk",J14&gt;I14))</formula>
    </cfRule>
  </conditionalFormatting>
  <conditionalFormatting sqref="J15">
    <cfRule type="expression" dxfId="1" priority="38">
      <formula>AND(NOT(ISBLANK(J15)),OR(I15="NonStk",J15&gt;I15))</formula>
    </cfRule>
  </conditionalFormatting>
  <conditionalFormatting sqref="J16">
    <cfRule type="expression" dxfId="1" priority="42">
      <formula>AND(NOT(ISBLANK(J16)),OR(I16="NonStk",J16&gt;I16))</formula>
    </cfRule>
  </conditionalFormatting>
  <conditionalFormatting sqref="J17">
    <cfRule type="expression" dxfId="1" priority="46">
      <formula>AND(NOT(ISBLANK(J17)),OR(I17="NonStk",J17&gt;I17))</formula>
    </cfRule>
  </conditionalFormatting>
  <conditionalFormatting sqref="J18">
    <cfRule type="expression" dxfId="1" priority="50">
      <formula>AND(NOT(ISBLANK(J18)),OR(I18="NonStk",J18&gt;I18))</formula>
    </cfRule>
  </conditionalFormatting>
  <conditionalFormatting sqref="J19">
    <cfRule type="expression" dxfId="1" priority="54">
      <formula>AND(NOT(ISBLANK(J19)),OR(I19="NonStk",J19&gt;I19))</formula>
    </cfRule>
  </conditionalFormatting>
  <conditionalFormatting sqref="J20">
    <cfRule type="expression" dxfId="1" priority="58">
      <formula>AND(NOT(ISBLANK(J20)),OR(I20="NonStk",J20&gt;I20))</formula>
    </cfRule>
  </conditionalFormatting>
  <conditionalFormatting sqref="J21">
    <cfRule type="expression" dxfId="1" priority="62">
      <formula>AND(NOT(ISBLANK(J21)),OR(I21="NonStk",J21&gt;I21))</formula>
    </cfRule>
  </conditionalFormatting>
  <conditionalFormatting sqref="J22">
    <cfRule type="expression" dxfId="1" priority="66">
      <formula>AND(NOT(ISBLANK(J22)),OR(I22="NonStk",J22&gt;I22))</formula>
    </cfRule>
  </conditionalFormatting>
  <conditionalFormatting sqref="J24">
    <cfRule type="expression" dxfId="1" priority="70">
      <formula>AND(NOT(ISBLANK(J24)),OR(I24="NonStk",J24&gt;I24))</formula>
    </cfRule>
  </conditionalFormatting>
  <conditionalFormatting sqref="J25">
    <cfRule type="expression" dxfId="1" priority="74">
      <formula>AND(NOT(ISBLANK(J25)),OR(I25="NonStk",J25&gt;I25))</formula>
    </cfRule>
  </conditionalFormatting>
  <conditionalFormatting sqref="J26">
    <cfRule type="expression" dxfId="1" priority="78">
      <formula>AND(NOT(ISBLANK(J26)),OR(I26="NonStk",J26&gt;I26))</formula>
    </cfRule>
  </conditionalFormatting>
  <conditionalFormatting sqref="J27">
    <cfRule type="expression" dxfId="1" priority="82">
      <formula>AND(NOT(ISBLANK(J27)),OR(I27="NonStk",J27&gt;I27))</formula>
    </cfRule>
  </conditionalFormatting>
  <conditionalFormatting sqref="J28">
    <cfRule type="expression" dxfId="3" priority="86">
      <formula>AND(J28&gt;0,MOD(J28,L28)&lt;&gt;0)</formula>
    </cfRule>
    <cfRule type="expression" dxfId="1" priority="87">
      <formula>AND(NOT(ISBLANK(J28)),OR(I28="NonStk",J28&gt;I28))</formula>
    </cfRule>
  </conditionalFormatting>
  <conditionalFormatting sqref="J29">
    <cfRule type="expression" dxfId="1" priority="94">
      <formula>AND(NOT(ISBLANK(J29)),OR(I29="NonStk",J29&gt;I29))</formula>
    </cfRule>
  </conditionalFormatting>
  <conditionalFormatting sqref="J30">
    <cfRule type="expression" dxfId="1" priority="98">
      <formula>AND(NOT(ISBLANK(J30)),OR(I30="NonStk",J30&gt;I30))</formula>
    </cfRule>
  </conditionalFormatting>
  <conditionalFormatting sqref="J31">
    <cfRule type="expression" dxfId="1" priority="102">
      <formula>AND(NOT(ISBLANK(J31)),OR(I31="NonStk",J31&gt;I31))</formula>
    </cfRule>
  </conditionalFormatting>
  <conditionalFormatting sqref="J32">
    <cfRule type="expression" dxfId="1" priority="106">
      <formula>AND(NOT(ISBLANK(J32)),OR(I32="NonStk",J32&gt;I32))</formula>
    </cfRule>
  </conditionalFormatting>
  <conditionalFormatting sqref="J33">
    <cfRule type="expression" dxfId="1" priority="110">
      <formula>AND(NOT(ISBLANK(J33)),OR(I33="NonStk",J33&gt;I33))</formula>
    </cfRule>
  </conditionalFormatting>
  <conditionalFormatting sqref="J35">
    <cfRule type="expression" dxfId="1" priority="114">
      <formula>AND(NOT(ISBLANK(J35)),OR(I35="NonStk",J35&gt;I35))</formula>
    </cfRule>
  </conditionalFormatting>
  <conditionalFormatting sqref="J36">
    <cfRule type="expression" dxfId="1" priority="118">
      <formula>AND(NOT(ISBLANK(J36)),OR(I36="NonStk",J36&gt;I36))</formula>
    </cfRule>
  </conditionalFormatting>
  <conditionalFormatting sqref="J37">
    <cfRule type="expression" dxfId="1" priority="122">
      <formula>AND(NOT(ISBLANK(J37)),OR(I37="NonStk",J37&gt;I37))</formula>
    </cfRule>
  </conditionalFormatting>
  <conditionalFormatting sqref="J38">
    <cfRule type="expression" dxfId="3" priority="126">
      <formula>AND(J38&gt;0,MOD(J38,L38)&lt;&gt;0)</formula>
    </cfRule>
    <cfRule type="expression" dxfId="1" priority="127">
      <formula>AND(NOT(ISBLANK(J38)),OR(I38="NonStk",J38&gt;I38))</formula>
    </cfRule>
  </conditionalFormatting>
  <conditionalFormatting sqref="J39">
    <cfRule type="expression" dxfId="1" priority="134">
      <formula>AND(NOT(ISBLANK(J39)),OR(I39="NonStk",J39&gt;I39))</formula>
    </cfRule>
  </conditionalFormatting>
  <conditionalFormatting sqref="J41">
    <cfRule type="expression" dxfId="1" priority="138">
      <formula>AND(NOT(ISBLANK(J41)),OR(I41="NonStk",J41&gt;I41))</formula>
    </cfRule>
  </conditionalFormatting>
  <conditionalFormatting sqref="J7">
    <cfRule type="expression" dxfId="1" priority="2">
      <formula>AND(NOT(ISBLANK(J7)),OR(I7="NonStk",J7&gt;I7))</formula>
    </cfRule>
  </conditionalFormatting>
  <conditionalFormatting sqref="J8">
    <cfRule type="expression" dxfId="1" priority="6">
      <formula>AND(NOT(ISBLANK(J8)),OR(I8="NonStk",J8&gt;I8))</formula>
    </cfRule>
  </conditionalFormatting>
  <conditionalFormatting sqref="J9">
    <cfRule type="expression" dxfId="1" priority="10">
      <formula>AND(NOT(ISBLANK(J9)),OR(I9="NonStk",J9&gt;I9))</formula>
    </cfRule>
  </conditionalFormatting>
  <conditionalFormatting sqref="K10">
    <cfRule type="cellIs" dxfId="2" priority="16" operator="lessThanOrEqual">
      <formula>G10</formula>
    </cfRule>
  </conditionalFormatting>
  <conditionalFormatting sqref="K11">
    <cfRule type="cellIs" dxfId="2" priority="21" operator="lessThanOrEqual">
      <formula>G11</formula>
    </cfRule>
    <cfRule type="expression" dxfId="3" priority="22">
      <formula>AND(F11&lt;4000,J11&lt;4000)</formula>
    </cfRule>
  </conditionalFormatting>
  <conditionalFormatting sqref="K12">
    <cfRule type="cellIs" dxfId="2" priority="28" operator="lessThanOrEqual">
      <formula>G12</formula>
    </cfRule>
  </conditionalFormatting>
  <conditionalFormatting sqref="K13">
    <cfRule type="cellIs" dxfId="2" priority="32" operator="lessThanOrEqual">
      <formula>G13</formula>
    </cfRule>
  </conditionalFormatting>
  <conditionalFormatting sqref="K14">
    <cfRule type="cellIs" dxfId="2" priority="36" operator="lessThanOrEqual">
      <formula>G14</formula>
    </cfRule>
  </conditionalFormatting>
  <conditionalFormatting sqref="K15">
    <cfRule type="cellIs" dxfId="2" priority="40" operator="lessThanOrEqual">
      <formula>G15</formula>
    </cfRule>
  </conditionalFormatting>
  <conditionalFormatting sqref="K16">
    <cfRule type="cellIs" dxfId="2" priority="44" operator="lessThanOrEqual">
      <formula>G16</formula>
    </cfRule>
  </conditionalFormatting>
  <conditionalFormatting sqref="K17">
    <cfRule type="cellIs" dxfId="2" priority="48" operator="lessThanOrEqual">
      <formula>G17</formula>
    </cfRule>
  </conditionalFormatting>
  <conditionalFormatting sqref="K18">
    <cfRule type="cellIs" dxfId="2" priority="52" operator="lessThanOrEqual">
      <formula>G18</formula>
    </cfRule>
  </conditionalFormatting>
  <conditionalFormatting sqref="K19">
    <cfRule type="cellIs" dxfId="2" priority="56" operator="lessThanOrEqual">
      <formula>G19</formula>
    </cfRule>
  </conditionalFormatting>
  <conditionalFormatting sqref="K20">
    <cfRule type="cellIs" dxfId="2" priority="60" operator="lessThanOrEqual">
      <formula>G20</formula>
    </cfRule>
  </conditionalFormatting>
  <conditionalFormatting sqref="K21">
    <cfRule type="cellIs" dxfId="2" priority="64" operator="lessThanOrEqual">
      <formula>G21</formula>
    </cfRule>
  </conditionalFormatting>
  <conditionalFormatting sqref="K22">
    <cfRule type="cellIs" dxfId="2" priority="68" operator="lessThanOrEqual">
      <formula>G22</formula>
    </cfRule>
  </conditionalFormatting>
  <conditionalFormatting sqref="K24">
    <cfRule type="cellIs" dxfId="2" priority="72" operator="lessThanOrEqual">
      <formula>G24</formula>
    </cfRule>
  </conditionalFormatting>
  <conditionalFormatting sqref="K25">
    <cfRule type="cellIs" dxfId="2" priority="76" operator="lessThanOrEqual">
      <formula>G25</formula>
    </cfRule>
  </conditionalFormatting>
  <conditionalFormatting sqref="K26">
    <cfRule type="cellIs" dxfId="2" priority="80" operator="lessThanOrEqual">
      <formula>G26</formula>
    </cfRule>
  </conditionalFormatting>
  <conditionalFormatting sqref="K27">
    <cfRule type="cellIs" dxfId="2" priority="84" operator="lessThanOrEqual">
      <formula>G27</formula>
    </cfRule>
  </conditionalFormatting>
  <conditionalFormatting sqref="K28">
    <cfRule type="cellIs" dxfId="2" priority="89" operator="lessThanOrEqual">
      <formula>G28</formula>
    </cfRule>
    <cfRule type="expression" dxfId="3" priority="90">
      <formula>AND(F28&lt;5000,J28&lt;5000)</formula>
    </cfRule>
  </conditionalFormatting>
  <conditionalFormatting sqref="K29">
    <cfRule type="cellIs" dxfId="2" priority="96" operator="lessThanOrEqual">
      <formula>G29</formula>
    </cfRule>
  </conditionalFormatting>
  <conditionalFormatting sqref="K30">
    <cfRule type="cellIs" dxfId="2" priority="100" operator="lessThanOrEqual">
      <formula>G30</formula>
    </cfRule>
  </conditionalFormatting>
  <conditionalFormatting sqref="K31">
    <cfRule type="cellIs" dxfId="2" priority="104" operator="lessThanOrEqual">
      <formula>G31</formula>
    </cfRule>
  </conditionalFormatting>
  <conditionalFormatting sqref="K32">
    <cfRule type="cellIs" dxfId="2" priority="108" operator="lessThanOrEqual">
      <formula>G32</formula>
    </cfRule>
  </conditionalFormatting>
  <conditionalFormatting sqref="K33">
    <cfRule type="cellIs" dxfId="2" priority="112" operator="lessThanOrEqual">
      <formula>G33</formula>
    </cfRule>
  </conditionalFormatting>
  <conditionalFormatting sqref="K35">
    <cfRule type="cellIs" dxfId="2" priority="116" operator="lessThanOrEqual">
      <formula>G35</formula>
    </cfRule>
  </conditionalFormatting>
  <conditionalFormatting sqref="K36">
    <cfRule type="cellIs" dxfId="2" priority="120" operator="lessThanOrEqual">
      <formula>G36</formula>
    </cfRule>
  </conditionalFormatting>
  <conditionalFormatting sqref="K37">
    <cfRule type="cellIs" dxfId="2" priority="124" operator="lessThanOrEqual">
      <formula>G37</formula>
    </cfRule>
  </conditionalFormatting>
  <conditionalFormatting sqref="K38">
    <cfRule type="cellIs" dxfId="2" priority="129" operator="lessThanOrEqual">
      <formula>G38</formula>
    </cfRule>
    <cfRule type="expression" dxfId="3" priority="130">
      <formula>AND(F38&lt;216,J38&lt;216)</formula>
    </cfRule>
  </conditionalFormatting>
  <conditionalFormatting sqref="K39">
    <cfRule type="cellIs" dxfId="2" priority="136" operator="lessThanOrEqual">
      <formula>G39</formula>
    </cfRule>
  </conditionalFormatting>
  <conditionalFormatting sqref="K41">
    <cfRule type="cellIs" dxfId="2" priority="140" operator="lessThanOrEqual">
      <formula>G41</formula>
    </cfRule>
  </conditionalFormatting>
  <conditionalFormatting sqref="K7">
    <cfRule type="cellIs" dxfId="2" priority="4" operator="lessThanOrEqual">
      <formula>G7</formula>
    </cfRule>
  </conditionalFormatting>
  <conditionalFormatting sqref="K8">
    <cfRule type="cellIs" dxfId="2" priority="8" operator="lessThanOrEqual">
      <formula>G8</formula>
    </cfRule>
  </conditionalFormatting>
  <conditionalFormatting sqref="K9">
    <cfRule type="cellIs" dxfId="2" priority="12" operator="lessThanOrEqual">
      <formula>G9</formula>
    </cfRule>
  </conditionalFormatting>
  <conditionalFormatting sqref="L11">
    <cfRule type="expression" dxfId="3" priority="23">
      <formula>AND(F11&lt;4000,J11&lt;4000)</formula>
    </cfRule>
  </conditionalFormatting>
  <conditionalFormatting sqref="L28">
    <cfRule type="expression" dxfId="3" priority="91">
      <formula>AND(F28&lt;5000,J28&lt;5000)</formula>
    </cfRule>
  </conditionalFormatting>
  <conditionalFormatting sqref="L38">
    <cfRule type="expression" dxfId="3" priority="131">
      <formula>AND(F38&lt;216,J38&lt;216)</formula>
    </cfRule>
  </conditionalFormatting>
  <conditionalFormatting sqref="M10">
    <cfRule type="cellIs" dxfId="2" priority="15" operator="lessThanOrEqual">
      <formula>H10</formula>
    </cfRule>
  </conditionalFormatting>
  <conditionalFormatting sqref="M11">
    <cfRule type="cellIs" dxfId="2" priority="20" operator="lessThanOrEqual">
      <formula>H11</formula>
    </cfRule>
    <cfRule type="expression" dxfId="3" priority="24">
      <formula>AND(F11&lt;4000,J11&lt;4000)</formula>
    </cfRule>
  </conditionalFormatting>
  <conditionalFormatting sqref="M12">
    <cfRule type="cellIs" dxfId="2" priority="27" operator="lessThanOrEqual">
      <formula>H12</formula>
    </cfRule>
  </conditionalFormatting>
  <conditionalFormatting sqref="M13">
    <cfRule type="cellIs" dxfId="2" priority="31" operator="lessThanOrEqual">
      <formula>H13</formula>
    </cfRule>
  </conditionalFormatting>
  <conditionalFormatting sqref="M14">
    <cfRule type="cellIs" dxfId="2" priority="35" operator="lessThanOrEqual">
      <formula>H14</formula>
    </cfRule>
  </conditionalFormatting>
  <conditionalFormatting sqref="M15">
    <cfRule type="cellIs" dxfId="2" priority="39" operator="lessThanOrEqual">
      <formula>H15</formula>
    </cfRule>
  </conditionalFormatting>
  <conditionalFormatting sqref="M16">
    <cfRule type="cellIs" dxfId="2" priority="43" operator="lessThanOrEqual">
      <formula>H16</formula>
    </cfRule>
  </conditionalFormatting>
  <conditionalFormatting sqref="M17">
    <cfRule type="cellIs" dxfId="2" priority="47" operator="lessThanOrEqual">
      <formula>H17</formula>
    </cfRule>
  </conditionalFormatting>
  <conditionalFormatting sqref="M18">
    <cfRule type="cellIs" dxfId="2" priority="51" operator="lessThanOrEqual">
      <formula>H18</formula>
    </cfRule>
  </conditionalFormatting>
  <conditionalFormatting sqref="M19">
    <cfRule type="cellIs" dxfId="2" priority="55" operator="lessThanOrEqual">
      <formula>H19</formula>
    </cfRule>
  </conditionalFormatting>
  <conditionalFormatting sqref="M20">
    <cfRule type="cellIs" dxfId="2" priority="59" operator="lessThanOrEqual">
      <formula>H20</formula>
    </cfRule>
  </conditionalFormatting>
  <conditionalFormatting sqref="M21">
    <cfRule type="cellIs" dxfId="2" priority="63" operator="lessThanOrEqual">
      <formula>H21</formula>
    </cfRule>
  </conditionalFormatting>
  <conditionalFormatting sqref="M22">
    <cfRule type="cellIs" dxfId="2" priority="67" operator="lessThanOrEqual">
      <formula>H22</formula>
    </cfRule>
  </conditionalFormatting>
  <conditionalFormatting sqref="M24">
    <cfRule type="cellIs" dxfId="2" priority="71" operator="lessThanOrEqual">
      <formula>H24</formula>
    </cfRule>
  </conditionalFormatting>
  <conditionalFormatting sqref="M25">
    <cfRule type="cellIs" dxfId="2" priority="75" operator="lessThanOrEqual">
      <formula>H25</formula>
    </cfRule>
  </conditionalFormatting>
  <conditionalFormatting sqref="M26">
    <cfRule type="cellIs" dxfId="2" priority="79" operator="lessThanOrEqual">
      <formula>H26</formula>
    </cfRule>
  </conditionalFormatting>
  <conditionalFormatting sqref="M27">
    <cfRule type="cellIs" dxfId="2" priority="83" operator="lessThanOrEqual">
      <formula>H27</formula>
    </cfRule>
  </conditionalFormatting>
  <conditionalFormatting sqref="M28">
    <cfRule type="cellIs" dxfId="2" priority="88" operator="lessThanOrEqual">
      <formula>H28</formula>
    </cfRule>
    <cfRule type="expression" dxfId="3" priority="92">
      <formula>AND(F28&lt;5000,J28&lt;5000)</formula>
    </cfRule>
  </conditionalFormatting>
  <conditionalFormatting sqref="M29">
    <cfRule type="cellIs" dxfId="2" priority="95" operator="lessThanOrEqual">
      <formula>H29</formula>
    </cfRule>
  </conditionalFormatting>
  <conditionalFormatting sqref="M30">
    <cfRule type="cellIs" dxfId="2" priority="99" operator="lessThanOrEqual">
      <formula>H30</formula>
    </cfRule>
  </conditionalFormatting>
  <conditionalFormatting sqref="M31">
    <cfRule type="cellIs" dxfId="2" priority="103" operator="lessThanOrEqual">
      <formula>H31</formula>
    </cfRule>
  </conditionalFormatting>
  <conditionalFormatting sqref="M32">
    <cfRule type="cellIs" dxfId="2" priority="107" operator="lessThanOrEqual">
      <formula>H32</formula>
    </cfRule>
  </conditionalFormatting>
  <conditionalFormatting sqref="M33">
    <cfRule type="cellIs" dxfId="2" priority="111" operator="lessThanOrEqual">
      <formula>H33</formula>
    </cfRule>
  </conditionalFormatting>
  <conditionalFormatting sqref="M35">
    <cfRule type="cellIs" dxfId="2" priority="115" operator="lessThanOrEqual">
      <formula>H35</formula>
    </cfRule>
  </conditionalFormatting>
  <conditionalFormatting sqref="M36">
    <cfRule type="cellIs" dxfId="2" priority="119" operator="lessThanOrEqual">
      <formula>H36</formula>
    </cfRule>
  </conditionalFormatting>
  <conditionalFormatting sqref="M37">
    <cfRule type="cellIs" dxfId="2" priority="123" operator="lessThanOrEqual">
      <formula>H37</formula>
    </cfRule>
  </conditionalFormatting>
  <conditionalFormatting sqref="M38">
    <cfRule type="cellIs" dxfId="2" priority="128" operator="lessThanOrEqual">
      <formula>H38</formula>
    </cfRule>
    <cfRule type="expression" dxfId="3" priority="132">
      <formula>AND(F38&lt;216,J38&lt;216)</formula>
    </cfRule>
  </conditionalFormatting>
  <conditionalFormatting sqref="M39">
    <cfRule type="cellIs" dxfId="2" priority="135" operator="lessThanOrEqual">
      <formula>H39</formula>
    </cfRule>
  </conditionalFormatting>
  <conditionalFormatting sqref="M41">
    <cfRule type="cellIs" dxfId="2" priority="139" operator="lessThanOrEqual">
      <formula>H41</formula>
    </cfRule>
  </conditionalFormatting>
  <conditionalFormatting sqref="M7">
    <cfRule type="cellIs" dxfId="2" priority="3" operator="lessThanOrEqual">
      <formula>H7</formula>
    </cfRule>
  </conditionalFormatting>
  <conditionalFormatting sqref="M8">
    <cfRule type="cellIs" dxfId="2" priority="7" operator="lessThanOrEqual">
      <formula>H8</formula>
    </cfRule>
  </conditionalFormatting>
  <conditionalFormatting sqref="M9">
    <cfRule type="cellIs" dxfId="2" priority="11" operator="lessThanOrEqual">
      <formula>H9</formula>
    </cfRule>
  </conditionalFormatting>
  <conditionalFormatting sqref="O10">
    <cfRule type="cellIs" dxfId="0" priority="153" operator="lessThan">
      <formula>F10</formula>
    </cfRule>
  </conditionalFormatting>
  <conditionalFormatting sqref="O11">
    <cfRule type="cellIs" dxfId="0" priority="157" operator="lessThan">
      <formula>F11</formula>
    </cfRule>
  </conditionalFormatting>
  <conditionalFormatting sqref="O12">
    <cfRule type="cellIs" dxfId="0" priority="161" operator="lessThan">
      <formula>F12</formula>
    </cfRule>
  </conditionalFormatting>
  <conditionalFormatting sqref="O13">
    <cfRule type="cellIs" dxfId="0" priority="165" operator="lessThan">
      <formula>F13</formula>
    </cfRule>
  </conditionalFormatting>
  <conditionalFormatting sqref="O14">
    <cfRule type="cellIs" dxfId="0" priority="169" operator="lessThan">
      <formula>F14</formula>
    </cfRule>
  </conditionalFormatting>
  <conditionalFormatting sqref="O16">
    <cfRule type="cellIs" dxfId="0" priority="173" operator="lessThan">
      <formula>F16</formula>
    </cfRule>
  </conditionalFormatting>
  <conditionalFormatting sqref="O17">
    <cfRule type="cellIs" dxfId="0" priority="177" operator="lessThan">
      <formula>F17</formula>
    </cfRule>
  </conditionalFormatting>
  <conditionalFormatting sqref="O18">
    <cfRule type="cellIs" dxfId="0" priority="181" operator="lessThan">
      <formula>F18</formula>
    </cfRule>
  </conditionalFormatting>
  <conditionalFormatting sqref="O19">
    <cfRule type="cellIs" dxfId="0" priority="185" operator="lessThan">
      <formula>F19</formula>
    </cfRule>
  </conditionalFormatting>
  <conditionalFormatting sqref="O20">
    <cfRule type="cellIs" dxfId="0" priority="189" operator="lessThan">
      <formula>F20</formula>
    </cfRule>
  </conditionalFormatting>
  <conditionalFormatting sqref="O21">
    <cfRule type="cellIs" dxfId="0" priority="193" operator="lessThan">
      <formula>F21</formula>
    </cfRule>
  </conditionalFormatting>
  <conditionalFormatting sqref="O22">
    <cfRule type="cellIs" dxfId="0" priority="197" operator="lessThan">
      <formula>F22</formula>
    </cfRule>
  </conditionalFormatting>
  <conditionalFormatting sqref="O24">
    <cfRule type="cellIs" dxfId="0" priority="201" operator="lessThan">
      <formula>F24</formula>
    </cfRule>
  </conditionalFormatting>
  <conditionalFormatting sqref="O25">
    <cfRule type="cellIs" dxfId="0" priority="205" operator="lessThan">
      <formula>F25</formula>
    </cfRule>
  </conditionalFormatting>
  <conditionalFormatting sqref="O26">
    <cfRule type="cellIs" dxfId="0" priority="209" operator="lessThan">
      <formula>F26</formula>
    </cfRule>
  </conditionalFormatting>
  <conditionalFormatting sqref="O27">
    <cfRule type="cellIs" dxfId="0" priority="213" operator="lessThan">
      <formula>F27</formula>
    </cfRule>
  </conditionalFormatting>
  <conditionalFormatting sqref="O28">
    <cfRule type="cellIs" dxfId="0" priority="217" operator="lessThan">
      <formula>F28</formula>
    </cfRule>
  </conditionalFormatting>
  <conditionalFormatting sqref="O29">
    <cfRule type="cellIs" dxfId="0" priority="221" operator="lessThan">
      <formula>F29</formula>
    </cfRule>
  </conditionalFormatting>
  <conditionalFormatting sqref="O30">
    <cfRule type="cellIs" dxfId="0" priority="225" operator="lessThan">
      <formula>F30</formula>
    </cfRule>
  </conditionalFormatting>
  <conditionalFormatting sqref="O31">
    <cfRule type="cellIs" dxfId="0" priority="229" operator="lessThan">
      <formula>F31</formula>
    </cfRule>
  </conditionalFormatting>
  <conditionalFormatting sqref="O32">
    <cfRule type="cellIs" dxfId="0" priority="233" operator="lessThan">
      <formula>F32</formula>
    </cfRule>
  </conditionalFormatting>
  <conditionalFormatting sqref="O33">
    <cfRule type="cellIs" dxfId="0" priority="237" operator="lessThan">
      <formula>F33</formula>
    </cfRule>
  </conditionalFormatting>
  <conditionalFormatting sqref="O35">
    <cfRule type="cellIs" dxfId="0" priority="241" operator="lessThan">
      <formula>F35</formula>
    </cfRule>
  </conditionalFormatting>
  <conditionalFormatting sqref="O36">
    <cfRule type="cellIs" dxfId="0" priority="245" operator="lessThan">
      <formula>F36</formula>
    </cfRule>
  </conditionalFormatting>
  <conditionalFormatting sqref="O37">
    <cfRule type="cellIs" dxfId="0" priority="249" operator="lessThan">
      <formula>F37</formula>
    </cfRule>
  </conditionalFormatting>
  <conditionalFormatting sqref="O38">
    <cfRule type="cellIs" dxfId="0" priority="253" operator="lessThan">
      <formula>F38</formula>
    </cfRule>
  </conditionalFormatting>
  <conditionalFormatting sqref="O39">
    <cfRule type="cellIs" dxfId="0" priority="257" operator="lessThan">
      <formula>F39</formula>
    </cfRule>
  </conditionalFormatting>
  <conditionalFormatting sqref="O40">
    <cfRule type="cellIs" dxfId="0" priority="261" operator="lessThan">
      <formula>F40</formula>
    </cfRule>
  </conditionalFormatting>
  <conditionalFormatting sqref="O41">
    <cfRule type="cellIs" dxfId="0" priority="265" operator="lessThan">
      <formula>F41</formula>
    </cfRule>
  </conditionalFormatting>
  <conditionalFormatting sqref="O7">
    <cfRule type="cellIs" dxfId="0" priority="141" operator="lessThan">
      <formula>F7</formula>
    </cfRule>
  </conditionalFormatting>
  <conditionalFormatting sqref="O8">
    <cfRule type="cellIs" dxfId="0" priority="145" operator="lessThan">
      <formula>F8</formula>
    </cfRule>
  </conditionalFormatting>
  <conditionalFormatting sqref="O9">
    <cfRule type="cellIs" dxfId="0" priority="149" operator="lessThan">
      <formula>F9</formula>
    </cfRule>
  </conditionalFormatting>
  <conditionalFormatting sqref="P10">
    <cfRule type="expression" dxfId="1" priority="154">
      <formula>AND(NOT(ISBLANK(P10)),OR(O10="NonStk",P10&gt;O10))</formula>
    </cfRule>
  </conditionalFormatting>
  <conditionalFormatting sqref="P11">
    <cfRule type="expression" dxfId="1" priority="158">
      <formula>AND(NOT(ISBLANK(P11)),OR(O11="NonStk",P11&gt;O11))</formula>
    </cfRule>
  </conditionalFormatting>
  <conditionalFormatting sqref="P12">
    <cfRule type="expression" dxfId="1" priority="162">
      <formula>AND(NOT(ISBLANK(P12)),OR(O12="NonStk",P12&gt;O12))</formula>
    </cfRule>
  </conditionalFormatting>
  <conditionalFormatting sqref="P13">
    <cfRule type="expression" dxfId="1" priority="166">
      <formula>AND(NOT(ISBLANK(P13)),OR(O13="NonStk",P13&gt;O13))</formula>
    </cfRule>
  </conditionalFormatting>
  <conditionalFormatting sqref="P14">
    <cfRule type="expression" dxfId="1" priority="170">
      <formula>AND(NOT(ISBLANK(P14)),OR(O14="NonStk",P14&gt;O14))</formula>
    </cfRule>
  </conditionalFormatting>
  <conditionalFormatting sqref="P16">
    <cfRule type="expression" dxfId="1" priority="174">
      <formula>AND(NOT(ISBLANK(P16)),OR(O16="NonStk",P16&gt;O16))</formula>
    </cfRule>
  </conditionalFormatting>
  <conditionalFormatting sqref="P17">
    <cfRule type="expression" dxfId="1" priority="178">
      <formula>AND(NOT(ISBLANK(P17)),OR(O17="NonStk",P17&gt;O17))</formula>
    </cfRule>
  </conditionalFormatting>
  <conditionalFormatting sqref="P18">
    <cfRule type="expression" dxfId="1" priority="182">
      <formula>AND(NOT(ISBLANK(P18)),OR(O18="NonStk",P18&gt;O18))</formula>
    </cfRule>
  </conditionalFormatting>
  <conditionalFormatting sqref="P19">
    <cfRule type="expression" dxfId="1" priority="186">
      <formula>AND(NOT(ISBLANK(P19)),OR(O19="NonStk",P19&gt;O19))</formula>
    </cfRule>
  </conditionalFormatting>
  <conditionalFormatting sqref="P20">
    <cfRule type="expression" dxfId="1" priority="190">
      <formula>AND(NOT(ISBLANK(P20)),OR(O20="NonStk",P20&gt;O20))</formula>
    </cfRule>
  </conditionalFormatting>
  <conditionalFormatting sqref="P21">
    <cfRule type="expression" dxfId="1" priority="194">
      <formula>AND(NOT(ISBLANK(P21)),OR(O21="NonStk",P21&gt;O21))</formula>
    </cfRule>
  </conditionalFormatting>
  <conditionalFormatting sqref="P22">
    <cfRule type="expression" dxfId="1" priority="198">
      <formula>AND(NOT(ISBLANK(P22)),OR(O22="NonStk",P22&gt;O22))</formula>
    </cfRule>
  </conditionalFormatting>
  <conditionalFormatting sqref="P24">
    <cfRule type="expression" dxfId="1" priority="202">
      <formula>AND(NOT(ISBLANK(P24)),OR(O24="NonStk",P24&gt;O24))</formula>
    </cfRule>
  </conditionalFormatting>
  <conditionalFormatting sqref="P25">
    <cfRule type="expression" dxfId="1" priority="206">
      <formula>AND(NOT(ISBLANK(P25)),OR(O25="NonStk",P25&gt;O25))</formula>
    </cfRule>
  </conditionalFormatting>
  <conditionalFormatting sqref="P26">
    <cfRule type="expression" dxfId="1" priority="210">
      <formula>AND(NOT(ISBLANK(P26)),OR(O26="NonStk",P26&gt;O26))</formula>
    </cfRule>
  </conditionalFormatting>
  <conditionalFormatting sqref="P27">
    <cfRule type="expression" dxfId="1" priority="214">
      <formula>AND(NOT(ISBLANK(P27)),OR(O27="NonStk",P27&gt;O27))</formula>
    </cfRule>
  </conditionalFormatting>
  <conditionalFormatting sqref="P28">
    <cfRule type="expression" dxfId="1" priority="218">
      <formula>AND(NOT(ISBLANK(P28)),OR(O28="NonStk",P28&gt;O28))</formula>
    </cfRule>
  </conditionalFormatting>
  <conditionalFormatting sqref="P29">
    <cfRule type="expression" dxfId="1" priority="222">
      <formula>AND(NOT(ISBLANK(P29)),OR(O29="NonStk",P29&gt;O29))</formula>
    </cfRule>
  </conditionalFormatting>
  <conditionalFormatting sqref="P30">
    <cfRule type="expression" dxfId="1" priority="226">
      <formula>AND(NOT(ISBLANK(P30)),OR(O30="NonStk",P30&gt;O30))</formula>
    </cfRule>
  </conditionalFormatting>
  <conditionalFormatting sqref="P31">
    <cfRule type="expression" dxfId="1" priority="230">
      <formula>AND(NOT(ISBLANK(P31)),OR(O31="NonStk",P31&gt;O31))</formula>
    </cfRule>
  </conditionalFormatting>
  <conditionalFormatting sqref="P32">
    <cfRule type="expression" dxfId="1" priority="234">
      <formula>AND(NOT(ISBLANK(P32)),OR(O32="NonStk",P32&gt;O32))</formula>
    </cfRule>
  </conditionalFormatting>
  <conditionalFormatting sqref="P33">
    <cfRule type="expression" dxfId="1" priority="238">
      <formula>AND(NOT(ISBLANK(P33)),OR(O33="NonStk",P33&gt;O33))</formula>
    </cfRule>
  </conditionalFormatting>
  <conditionalFormatting sqref="P35">
    <cfRule type="expression" dxfId="1" priority="242">
      <formula>AND(NOT(ISBLANK(P35)),OR(O35="NonStk",P35&gt;O35))</formula>
    </cfRule>
  </conditionalFormatting>
  <conditionalFormatting sqref="P36">
    <cfRule type="expression" dxfId="1" priority="246">
      <formula>AND(NOT(ISBLANK(P36)),OR(O36="NonStk",P36&gt;O36))</formula>
    </cfRule>
  </conditionalFormatting>
  <conditionalFormatting sqref="P37">
    <cfRule type="expression" dxfId="1" priority="250">
      <formula>AND(NOT(ISBLANK(P37)),OR(O37="NonStk",P37&gt;O37))</formula>
    </cfRule>
  </conditionalFormatting>
  <conditionalFormatting sqref="P38">
    <cfRule type="expression" dxfId="1" priority="254">
      <formula>AND(NOT(ISBLANK(P38)),OR(O38="NonStk",P38&gt;O38))</formula>
    </cfRule>
  </conditionalFormatting>
  <conditionalFormatting sqref="P39">
    <cfRule type="expression" dxfId="1" priority="258">
      <formula>AND(NOT(ISBLANK(P39)),OR(O39="NonStk",P39&gt;O39))</formula>
    </cfRule>
  </conditionalFormatting>
  <conditionalFormatting sqref="P40">
    <cfRule type="expression" dxfId="1" priority="262">
      <formula>AND(NOT(ISBLANK(P40)),OR(O40="NonStk",P40&gt;O40))</formula>
    </cfRule>
  </conditionalFormatting>
  <conditionalFormatting sqref="P41">
    <cfRule type="expression" dxfId="1" priority="266">
      <formula>AND(NOT(ISBLANK(P41)),OR(O41="NonStk",P41&gt;O41))</formula>
    </cfRule>
  </conditionalFormatting>
  <conditionalFormatting sqref="P7">
    <cfRule type="expression" dxfId="1" priority="142">
      <formula>AND(NOT(ISBLANK(P7)),OR(O7="NonStk",P7&gt;O7))</formula>
    </cfRule>
  </conditionalFormatting>
  <conditionalFormatting sqref="P8">
    <cfRule type="expression" dxfId="1" priority="146">
      <formula>AND(NOT(ISBLANK(P8)),OR(O8="NonStk",P8&gt;O8))</formula>
    </cfRule>
  </conditionalFormatting>
  <conditionalFormatting sqref="P9">
    <cfRule type="expression" dxfId="1" priority="150">
      <formula>AND(NOT(ISBLANK(P9)),OR(O9="NonStk",P9&gt;O9))</formula>
    </cfRule>
  </conditionalFormatting>
  <conditionalFormatting sqref="Q10">
    <cfRule type="cellIs" dxfId="2" priority="156" operator="lessThanOrEqual">
      <formula>G10</formula>
    </cfRule>
  </conditionalFormatting>
  <conditionalFormatting sqref="Q11">
    <cfRule type="cellIs" dxfId="2" priority="160" operator="lessThanOrEqual">
      <formula>G11</formula>
    </cfRule>
  </conditionalFormatting>
  <conditionalFormatting sqref="Q12">
    <cfRule type="cellIs" dxfId="2" priority="164" operator="lessThanOrEqual">
      <formula>G12</formula>
    </cfRule>
  </conditionalFormatting>
  <conditionalFormatting sqref="Q13">
    <cfRule type="cellIs" dxfId="2" priority="168" operator="lessThanOrEqual">
      <formula>G13</formula>
    </cfRule>
  </conditionalFormatting>
  <conditionalFormatting sqref="Q14">
    <cfRule type="cellIs" dxfId="2" priority="172" operator="lessThanOrEqual">
      <formula>G14</formula>
    </cfRule>
  </conditionalFormatting>
  <conditionalFormatting sqref="Q16">
    <cfRule type="cellIs" dxfId="2" priority="176" operator="lessThanOrEqual">
      <formula>G16</formula>
    </cfRule>
  </conditionalFormatting>
  <conditionalFormatting sqref="Q17">
    <cfRule type="cellIs" dxfId="2" priority="180" operator="lessThanOrEqual">
      <formula>G17</formula>
    </cfRule>
  </conditionalFormatting>
  <conditionalFormatting sqref="Q18">
    <cfRule type="cellIs" dxfId="2" priority="184" operator="lessThanOrEqual">
      <formula>G18</formula>
    </cfRule>
  </conditionalFormatting>
  <conditionalFormatting sqref="Q19">
    <cfRule type="cellIs" dxfId="2" priority="188" operator="lessThanOrEqual">
      <formula>G19</formula>
    </cfRule>
  </conditionalFormatting>
  <conditionalFormatting sqref="Q20">
    <cfRule type="cellIs" dxfId="2" priority="192" operator="lessThanOrEqual">
      <formula>G20</formula>
    </cfRule>
  </conditionalFormatting>
  <conditionalFormatting sqref="Q21">
    <cfRule type="cellIs" dxfId="2" priority="196" operator="lessThanOrEqual">
      <formula>G21</formula>
    </cfRule>
  </conditionalFormatting>
  <conditionalFormatting sqref="Q22">
    <cfRule type="cellIs" dxfId="2" priority="200" operator="lessThanOrEqual">
      <formula>G22</formula>
    </cfRule>
  </conditionalFormatting>
  <conditionalFormatting sqref="Q24">
    <cfRule type="cellIs" dxfId="2" priority="204" operator="lessThanOrEqual">
      <formula>G24</formula>
    </cfRule>
  </conditionalFormatting>
  <conditionalFormatting sqref="Q25">
    <cfRule type="cellIs" dxfId="2" priority="208" operator="lessThanOrEqual">
      <formula>G25</formula>
    </cfRule>
  </conditionalFormatting>
  <conditionalFormatting sqref="Q26">
    <cfRule type="cellIs" dxfId="2" priority="212" operator="lessThanOrEqual">
      <formula>G26</formula>
    </cfRule>
  </conditionalFormatting>
  <conditionalFormatting sqref="Q27">
    <cfRule type="cellIs" dxfId="2" priority="216" operator="lessThanOrEqual">
      <formula>G27</formula>
    </cfRule>
  </conditionalFormatting>
  <conditionalFormatting sqref="Q28">
    <cfRule type="cellIs" dxfId="2" priority="220" operator="lessThanOrEqual">
      <formula>G28</formula>
    </cfRule>
  </conditionalFormatting>
  <conditionalFormatting sqref="Q29">
    <cfRule type="cellIs" dxfId="2" priority="224" operator="lessThanOrEqual">
      <formula>G29</formula>
    </cfRule>
  </conditionalFormatting>
  <conditionalFormatting sqref="Q30">
    <cfRule type="cellIs" dxfId="2" priority="228" operator="lessThanOrEqual">
      <formula>G30</formula>
    </cfRule>
  </conditionalFormatting>
  <conditionalFormatting sqref="Q31">
    <cfRule type="cellIs" dxfId="2" priority="232" operator="lessThanOrEqual">
      <formula>G31</formula>
    </cfRule>
  </conditionalFormatting>
  <conditionalFormatting sqref="Q32">
    <cfRule type="cellIs" dxfId="2" priority="236" operator="lessThanOrEqual">
      <formula>G32</formula>
    </cfRule>
  </conditionalFormatting>
  <conditionalFormatting sqref="Q33">
    <cfRule type="cellIs" dxfId="2" priority="240" operator="lessThanOrEqual">
      <formula>G33</formula>
    </cfRule>
  </conditionalFormatting>
  <conditionalFormatting sqref="Q35">
    <cfRule type="cellIs" dxfId="2" priority="244" operator="lessThanOrEqual">
      <formula>G35</formula>
    </cfRule>
  </conditionalFormatting>
  <conditionalFormatting sqref="Q36">
    <cfRule type="cellIs" dxfId="2" priority="248" operator="lessThanOrEqual">
      <formula>G36</formula>
    </cfRule>
  </conditionalFormatting>
  <conditionalFormatting sqref="Q37">
    <cfRule type="cellIs" dxfId="2" priority="252" operator="lessThanOrEqual">
      <formula>G37</formula>
    </cfRule>
  </conditionalFormatting>
  <conditionalFormatting sqref="Q38">
    <cfRule type="cellIs" dxfId="2" priority="256" operator="lessThanOrEqual">
      <formula>G38</formula>
    </cfRule>
  </conditionalFormatting>
  <conditionalFormatting sqref="Q39">
    <cfRule type="cellIs" dxfId="2" priority="260" operator="lessThanOrEqual">
      <formula>G39</formula>
    </cfRule>
  </conditionalFormatting>
  <conditionalFormatting sqref="Q40">
    <cfRule type="cellIs" dxfId="2" priority="264" operator="lessThanOrEqual">
      <formula>G40</formula>
    </cfRule>
  </conditionalFormatting>
  <conditionalFormatting sqref="Q41">
    <cfRule type="cellIs" dxfId="2" priority="268" operator="lessThanOrEqual">
      <formula>G41</formula>
    </cfRule>
  </conditionalFormatting>
  <conditionalFormatting sqref="Q7">
    <cfRule type="cellIs" dxfId="2" priority="144" operator="lessThanOrEqual">
      <formula>G7</formula>
    </cfRule>
  </conditionalFormatting>
  <conditionalFormatting sqref="Q8">
    <cfRule type="cellIs" dxfId="2" priority="148" operator="lessThanOrEqual">
      <formula>G8</formula>
    </cfRule>
  </conditionalFormatting>
  <conditionalFormatting sqref="Q9">
    <cfRule type="cellIs" dxfId="2" priority="152" operator="lessThanOrEqual">
      <formula>G9</formula>
    </cfRule>
  </conditionalFormatting>
  <conditionalFormatting sqref="S10">
    <cfRule type="cellIs" dxfId="2" priority="155" operator="lessThanOrEqual">
      <formula>H10</formula>
    </cfRule>
  </conditionalFormatting>
  <conditionalFormatting sqref="S11">
    <cfRule type="cellIs" dxfId="2" priority="159" operator="lessThanOrEqual">
      <formula>H11</formula>
    </cfRule>
  </conditionalFormatting>
  <conditionalFormatting sqref="S12">
    <cfRule type="cellIs" dxfId="2" priority="163" operator="lessThanOrEqual">
      <formula>H12</formula>
    </cfRule>
  </conditionalFormatting>
  <conditionalFormatting sqref="S13">
    <cfRule type="cellIs" dxfId="2" priority="167" operator="lessThanOrEqual">
      <formula>H13</formula>
    </cfRule>
  </conditionalFormatting>
  <conditionalFormatting sqref="S14">
    <cfRule type="cellIs" dxfId="2" priority="171" operator="lessThanOrEqual">
      <formula>H14</formula>
    </cfRule>
  </conditionalFormatting>
  <conditionalFormatting sqref="S16">
    <cfRule type="cellIs" dxfId="2" priority="175" operator="lessThanOrEqual">
      <formula>H16</formula>
    </cfRule>
  </conditionalFormatting>
  <conditionalFormatting sqref="S17">
    <cfRule type="cellIs" dxfId="2" priority="179" operator="lessThanOrEqual">
      <formula>H17</formula>
    </cfRule>
  </conditionalFormatting>
  <conditionalFormatting sqref="S18">
    <cfRule type="cellIs" dxfId="2" priority="183" operator="lessThanOrEqual">
      <formula>H18</formula>
    </cfRule>
  </conditionalFormatting>
  <conditionalFormatting sqref="S19">
    <cfRule type="cellIs" dxfId="2" priority="187" operator="lessThanOrEqual">
      <formula>H19</formula>
    </cfRule>
  </conditionalFormatting>
  <conditionalFormatting sqref="S20">
    <cfRule type="cellIs" dxfId="2" priority="191" operator="lessThanOrEqual">
      <formula>H20</formula>
    </cfRule>
  </conditionalFormatting>
  <conditionalFormatting sqref="S21">
    <cfRule type="cellIs" dxfId="2" priority="195" operator="lessThanOrEqual">
      <formula>H21</formula>
    </cfRule>
  </conditionalFormatting>
  <conditionalFormatting sqref="S22">
    <cfRule type="cellIs" dxfId="2" priority="199" operator="lessThanOrEqual">
      <formula>H22</formula>
    </cfRule>
  </conditionalFormatting>
  <conditionalFormatting sqref="S24">
    <cfRule type="cellIs" dxfId="2" priority="203" operator="lessThanOrEqual">
      <formula>H24</formula>
    </cfRule>
  </conditionalFormatting>
  <conditionalFormatting sqref="S25">
    <cfRule type="cellIs" dxfId="2" priority="207" operator="lessThanOrEqual">
      <formula>H25</formula>
    </cfRule>
  </conditionalFormatting>
  <conditionalFormatting sqref="S26">
    <cfRule type="cellIs" dxfId="2" priority="211" operator="lessThanOrEqual">
      <formula>H26</formula>
    </cfRule>
  </conditionalFormatting>
  <conditionalFormatting sqref="S27">
    <cfRule type="cellIs" dxfId="2" priority="215" operator="lessThanOrEqual">
      <formula>H27</formula>
    </cfRule>
  </conditionalFormatting>
  <conditionalFormatting sqref="S28">
    <cfRule type="cellIs" dxfId="2" priority="219" operator="lessThanOrEqual">
      <formula>H28</formula>
    </cfRule>
  </conditionalFormatting>
  <conditionalFormatting sqref="S29">
    <cfRule type="cellIs" dxfId="2" priority="223" operator="lessThanOrEqual">
      <formula>H29</formula>
    </cfRule>
  </conditionalFormatting>
  <conditionalFormatting sqref="S30">
    <cfRule type="cellIs" dxfId="2" priority="227" operator="lessThanOrEqual">
      <formula>H30</formula>
    </cfRule>
  </conditionalFormatting>
  <conditionalFormatting sqref="S31">
    <cfRule type="cellIs" dxfId="2" priority="231" operator="lessThanOrEqual">
      <formula>H31</formula>
    </cfRule>
  </conditionalFormatting>
  <conditionalFormatting sqref="S32">
    <cfRule type="cellIs" dxfId="2" priority="235" operator="lessThanOrEqual">
      <formula>H32</formula>
    </cfRule>
  </conditionalFormatting>
  <conditionalFormatting sqref="S33">
    <cfRule type="cellIs" dxfId="2" priority="239" operator="lessThanOrEqual">
      <formula>H33</formula>
    </cfRule>
  </conditionalFormatting>
  <conditionalFormatting sqref="S35">
    <cfRule type="cellIs" dxfId="2" priority="243" operator="lessThanOrEqual">
      <formula>H35</formula>
    </cfRule>
  </conditionalFormatting>
  <conditionalFormatting sqref="S36">
    <cfRule type="cellIs" dxfId="2" priority="247" operator="lessThanOrEqual">
      <formula>H36</formula>
    </cfRule>
  </conditionalFormatting>
  <conditionalFormatting sqref="S37">
    <cfRule type="cellIs" dxfId="2" priority="251" operator="lessThanOrEqual">
      <formula>H37</formula>
    </cfRule>
  </conditionalFormatting>
  <conditionalFormatting sqref="S38">
    <cfRule type="cellIs" dxfId="2" priority="255" operator="lessThanOrEqual">
      <formula>H38</formula>
    </cfRule>
  </conditionalFormatting>
  <conditionalFormatting sqref="S39">
    <cfRule type="cellIs" dxfId="2" priority="259" operator="lessThanOrEqual">
      <formula>H39</formula>
    </cfRule>
  </conditionalFormatting>
  <conditionalFormatting sqref="S40">
    <cfRule type="cellIs" dxfId="2" priority="263" operator="lessThanOrEqual">
      <formula>H40</formula>
    </cfRule>
  </conditionalFormatting>
  <conditionalFormatting sqref="S41">
    <cfRule type="cellIs" dxfId="2" priority="267" operator="lessThanOrEqual">
      <formula>H41</formula>
    </cfRule>
  </conditionalFormatting>
  <conditionalFormatting sqref="S7">
    <cfRule type="cellIs" dxfId="2" priority="143" operator="lessThanOrEqual">
      <formula>H7</formula>
    </cfRule>
  </conditionalFormatting>
  <conditionalFormatting sqref="S8">
    <cfRule type="cellIs" dxfId="2" priority="147" operator="lessThanOrEqual">
      <formula>H8</formula>
    </cfRule>
  </conditionalFormatting>
  <conditionalFormatting sqref="S9">
    <cfRule type="cellIs" dxfId="2" priority="151" operator="lessThanOrEqual">
      <formula>H9</formula>
    </cfRule>
  </conditionalFormatting>
  <hyperlinks>
    <hyperlink ref="E7" r:id="rId1"/>
    <hyperlink ref="N7" r:id="rId2"/>
    <hyperlink ref="T7" r:id="rId3"/>
    <hyperlink ref="E8" r:id="rId4"/>
    <hyperlink ref="N8" r:id="rId5"/>
    <hyperlink ref="T8" r:id="rId6"/>
    <hyperlink ref="E9" r:id="rId7"/>
    <hyperlink ref="N9" r:id="rId8"/>
    <hyperlink ref="T9" r:id="rId9"/>
    <hyperlink ref="E10" r:id="rId10"/>
    <hyperlink ref="N10" r:id="rId11"/>
    <hyperlink ref="T10" r:id="rId12"/>
    <hyperlink ref="E11" r:id="rId13"/>
    <hyperlink ref="N11" r:id="rId14"/>
    <hyperlink ref="T11" r:id="rId15"/>
    <hyperlink ref="E12" r:id="rId16"/>
    <hyperlink ref="N12" r:id="rId17"/>
    <hyperlink ref="T12" r:id="rId18"/>
    <hyperlink ref="E13" r:id="rId19"/>
    <hyperlink ref="N13" r:id="rId20"/>
    <hyperlink ref="T13" r:id="rId21"/>
    <hyperlink ref="E14" r:id="rId22"/>
    <hyperlink ref="N14" r:id="rId23"/>
    <hyperlink ref="T14" r:id="rId24"/>
    <hyperlink ref="E15" r:id="rId25"/>
    <hyperlink ref="N15" r:id="rId26"/>
    <hyperlink ref="E16" r:id="rId27"/>
    <hyperlink ref="N16" r:id="rId28"/>
    <hyperlink ref="T16" r:id="rId29"/>
    <hyperlink ref="E17" r:id="rId30"/>
    <hyperlink ref="N17" r:id="rId31"/>
    <hyperlink ref="T17" r:id="rId32"/>
    <hyperlink ref="E18" r:id="rId33"/>
    <hyperlink ref="N18" r:id="rId34"/>
    <hyperlink ref="T18" r:id="rId35"/>
    <hyperlink ref="E19" r:id="rId36"/>
    <hyperlink ref="N19" r:id="rId37"/>
    <hyperlink ref="T19" r:id="rId38"/>
    <hyperlink ref="E20" r:id="rId39"/>
    <hyperlink ref="N20" r:id="rId40"/>
    <hyperlink ref="T20" r:id="rId41"/>
    <hyperlink ref="E21" r:id="rId42"/>
    <hyperlink ref="N21" r:id="rId43"/>
    <hyperlink ref="T21" r:id="rId44"/>
    <hyperlink ref="E22" r:id="rId45"/>
    <hyperlink ref="N22" r:id="rId46"/>
    <hyperlink ref="T22" r:id="rId47"/>
    <hyperlink ref="N24" r:id="rId48"/>
    <hyperlink ref="T24" r:id="rId49"/>
    <hyperlink ref="E25" r:id="rId50"/>
    <hyperlink ref="N25" r:id="rId51"/>
    <hyperlink ref="T25" r:id="rId52"/>
    <hyperlink ref="E26" r:id="rId53"/>
    <hyperlink ref="N26" r:id="rId54"/>
    <hyperlink ref="T26" r:id="rId55"/>
    <hyperlink ref="E27" r:id="rId56"/>
    <hyperlink ref="N27" r:id="rId57"/>
    <hyperlink ref="T27" r:id="rId58"/>
    <hyperlink ref="E28" r:id="rId59"/>
    <hyperlink ref="N28" r:id="rId60"/>
    <hyperlink ref="T28" r:id="rId61"/>
    <hyperlink ref="E29" r:id="rId62"/>
    <hyperlink ref="N29" r:id="rId63"/>
    <hyperlink ref="T29" r:id="rId64"/>
    <hyperlink ref="E30" r:id="rId65"/>
    <hyperlink ref="N30" r:id="rId66"/>
    <hyperlink ref="T30" r:id="rId67"/>
    <hyperlink ref="E31" r:id="rId68"/>
    <hyperlink ref="N31" r:id="rId69"/>
    <hyperlink ref="T31" r:id="rId70"/>
    <hyperlink ref="E32" r:id="rId71"/>
    <hyperlink ref="N32" r:id="rId72"/>
    <hyperlink ref="T32" r:id="rId73"/>
    <hyperlink ref="E33" r:id="rId74"/>
    <hyperlink ref="N33" r:id="rId75"/>
    <hyperlink ref="T33" r:id="rId76"/>
    <hyperlink ref="E35" r:id="rId77"/>
    <hyperlink ref="N35" r:id="rId78"/>
    <hyperlink ref="T35" r:id="rId79"/>
    <hyperlink ref="E36" r:id="rId80"/>
    <hyperlink ref="N36" r:id="rId81"/>
    <hyperlink ref="T36" r:id="rId82"/>
    <hyperlink ref="E37" r:id="rId83"/>
    <hyperlink ref="N37" r:id="rId84"/>
    <hyperlink ref="T37" r:id="rId85"/>
    <hyperlink ref="E38" r:id="rId86"/>
    <hyperlink ref="N38" r:id="rId87"/>
    <hyperlink ref="T38" r:id="rId88"/>
    <hyperlink ref="E39" r:id="rId89"/>
    <hyperlink ref="N39" r:id="rId90"/>
    <hyperlink ref="T39" r:id="rId91"/>
    <hyperlink ref="E40" r:id="rId92"/>
    <hyperlink ref="T40" r:id="rId93"/>
    <hyperlink ref="E41" r:id="rId94"/>
    <hyperlink ref="N41" r:id="rId95"/>
    <hyperlink ref="T41" r:id="rId96"/>
    <hyperlink ref="I43" r:id="rId97"/>
    <hyperlink ref="O43" r:id="rId98"/>
  </hyperlinks>
  <pageMargins left="0.7" right="0.7" top="0.75" bottom="0.75" header="0.3" footer="0.3"/>
  <legacy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kicost_BOM</vt:lpstr>
      <vt:lpstr>'kicost_BOM'!BoardQty</vt:lpstr>
      <vt:lpstr>'kicost_BOM'!PURCHASE_DESCRIPTION</vt:lpstr>
      <vt:lpstr>'kicost_BOM'!TotalCost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2022-05-18T22:08:07Z</dcterms:created>
  <dcterms:modified xsi:type="dcterms:W3CDTF">2022-05-18T22:08:07Z</dcterms:modified>
</cp:coreProperties>
</file>