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iftayarani/V2G_Project/Batt_cap/"/>
    </mc:Choice>
  </mc:AlternateContent>
  <xr:revisionPtr revIDLastSave="0" documentId="13_ncr:1_{EE2528B0-842A-F64B-B34C-B243085DE0BE}" xr6:coauthVersionLast="47" xr6:coauthVersionMax="47" xr10:uidLastSave="{00000000-0000-0000-0000-000000000000}"/>
  <bookViews>
    <workbookView xWindow="-51200" yWindow="860" windowWidth="25560" windowHeight="28800" xr2:uid="{2A1CFDCE-22FF-8D40-9BA2-5DE3AFA2D9B3}"/>
  </bookViews>
  <sheets>
    <sheet name="Sheet2" sheetId="2" r:id="rId1"/>
  </sheets>
  <definedNames>
    <definedName name="_xlnm._FilterDatabase" localSheetId="0" hidden="1">Sheet2!$B$1:$B$1853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34" i="2" l="1"/>
  <c r="O1834" i="2" s="1"/>
  <c r="L1833" i="2"/>
  <c r="O1833" i="2" s="1"/>
  <c r="L1794" i="2"/>
  <c r="O1794" i="2" s="1"/>
  <c r="L1788" i="2"/>
  <c r="O1788" i="2" s="1"/>
  <c r="L1786" i="2"/>
  <c r="O1786" i="2" s="1"/>
  <c r="L1785" i="2"/>
  <c r="O1785" i="2" s="1"/>
  <c r="L1779" i="2"/>
  <c r="O1779" i="2" s="1"/>
  <c r="L1778" i="2"/>
  <c r="O1778" i="2" s="1"/>
  <c r="L1771" i="2"/>
  <c r="O1771" i="2" s="1"/>
  <c r="L1770" i="2"/>
  <c r="O1770" i="2" s="1"/>
  <c r="L1768" i="2"/>
  <c r="O1768" i="2" s="1"/>
  <c r="L1750" i="2"/>
  <c r="O1750" i="2" s="1"/>
  <c r="L1739" i="2"/>
  <c r="O1739" i="2" s="1"/>
  <c r="L1738" i="2"/>
  <c r="O1738" i="2" s="1"/>
  <c r="L1731" i="2"/>
  <c r="O1731" i="2" s="1"/>
  <c r="L1719" i="2"/>
  <c r="O1719" i="2" s="1"/>
  <c r="L1718" i="2"/>
  <c r="O1718" i="2" s="1"/>
  <c r="L1710" i="2"/>
  <c r="O1710" i="2" s="1"/>
  <c r="L1708" i="2"/>
  <c r="O1708" i="2" s="1"/>
  <c r="L1705" i="2"/>
  <c r="O1705" i="2" s="1"/>
  <c r="L1698" i="2"/>
  <c r="O1698" i="2" s="1"/>
  <c r="L1697" i="2"/>
  <c r="O1697" i="2" s="1"/>
  <c r="L1679" i="2"/>
  <c r="O1679" i="2" s="1"/>
  <c r="L1678" i="2"/>
  <c r="O1678" i="2" s="1"/>
  <c r="L1672" i="2"/>
  <c r="O1672" i="2" s="1"/>
  <c r="L1671" i="2"/>
  <c r="O1671" i="2" s="1"/>
  <c r="L1670" i="2"/>
  <c r="O1670" i="2" s="1"/>
  <c r="L1669" i="2"/>
  <c r="O1669" i="2" s="1"/>
  <c r="L1668" i="2"/>
  <c r="O1668" i="2" s="1"/>
  <c r="L1665" i="2"/>
  <c r="O1665" i="2" s="1"/>
  <c r="L1664" i="2"/>
  <c r="O1664" i="2" s="1"/>
  <c r="L1641" i="2"/>
  <c r="O1641" i="2" s="1"/>
  <c r="L1640" i="2"/>
  <c r="O1640" i="2" s="1"/>
  <c r="L1639" i="2"/>
  <c r="O1639" i="2" s="1"/>
  <c r="L1638" i="2"/>
  <c r="O1638" i="2" s="1"/>
  <c r="L1637" i="2"/>
  <c r="O1637" i="2" s="1"/>
  <c r="L1636" i="2"/>
  <c r="O1636" i="2" s="1"/>
  <c r="L1635" i="2"/>
  <c r="O1635" i="2" s="1"/>
  <c r="L1634" i="2"/>
  <c r="O1634" i="2" s="1"/>
  <c r="L1633" i="2"/>
  <c r="O1633" i="2" s="1"/>
  <c r="L1632" i="2"/>
  <c r="O1632" i="2" s="1"/>
  <c r="L1631" i="2"/>
  <c r="O1631" i="2" s="1"/>
  <c r="L1630" i="2"/>
  <c r="O1630" i="2" s="1"/>
  <c r="L1629" i="2"/>
  <c r="O1629" i="2" s="1"/>
  <c r="L1596" i="2"/>
  <c r="O1596" i="2" s="1"/>
  <c r="L1595" i="2"/>
  <c r="O1595" i="2" s="1"/>
  <c r="L1563" i="2"/>
  <c r="O1563" i="2" s="1"/>
  <c r="L1562" i="2"/>
  <c r="O1562" i="2" s="1"/>
  <c r="L1561" i="2"/>
  <c r="O1561" i="2" s="1"/>
  <c r="L1560" i="2"/>
  <c r="O1560" i="2" s="1"/>
  <c r="L1559" i="2"/>
  <c r="O1559" i="2" s="1"/>
  <c r="L1558" i="2"/>
  <c r="O1558" i="2" s="1"/>
  <c r="L1557" i="2"/>
  <c r="O1557" i="2" s="1"/>
  <c r="L1554" i="2"/>
  <c r="O1554" i="2" s="1"/>
  <c r="L1549" i="2"/>
  <c r="O1549" i="2" s="1"/>
  <c r="L1522" i="2"/>
  <c r="O1522" i="2" s="1"/>
  <c r="L1512" i="2"/>
  <c r="O1512" i="2" s="1"/>
  <c r="L1511" i="2"/>
  <c r="O1511" i="2" s="1"/>
  <c r="L1510" i="2"/>
  <c r="O1510" i="2" s="1"/>
  <c r="L1509" i="2"/>
  <c r="O1509" i="2" s="1"/>
  <c r="L1503" i="2"/>
  <c r="O1503" i="2" s="1"/>
  <c r="L1495" i="2"/>
  <c r="O1495" i="2" s="1"/>
  <c r="L1493" i="2"/>
  <c r="O1493" i="2" s="1"/>
  <c r="L1492" i="2"/>
  <c r="O1492" i="2" s="1"/>
  <c r="L1471" i="2"/>
  <c r="O1471" i="2" s="1"/>
  <c r="L1470" i="2"/>
  <c r="O1470" i="2" s="1"/>
  <c r="L1464" i="2"/>
  <c r="O1464" i="2" s="1"/>
  <c r="L1463" i="2"/>
  <c r="O1463" i="2" s="1"/>
  <c r="L1461" i="2"/>
  <c r="O1461" i="2" s="1"/>
  <c r="L1460" i="2"/>
  <c r="O1460" i="2" s="1"/>
  <c r="L1455" i="2"/>
  <c r="O1455" i="2" s="1"/>
  <c r="L1449" i="2"/>
  <c r="O1449" i="2" s="1"/>
  <c r="L1448" i="2"/>
  <c r="O1448" i="2" s="1"/>
  <c r="L1447" i="2"/>
  <c r="O1447" i="2" s="1"/>
  <c r="L1446" i="2"/>
  <c r="O1446" i="2" s="1"/>
  <c r="L1442" i="2"/>
  <c r="O1442" i="2" s="1"/>
  <c r="L1433" i="2"/>
  <c r="O1433" i="2" s="1"/>
  <c r="L1423" i="2"/>
  <c r="O1423" i="2" s="1"/>
  <c r="L1422" i="2"/>
  <c r="O1422" i="2" s="1"/>
  <c r="L1421" i="2"/>
  <c r="O1421" i="2" s="1"/>
  <c r="L1411" i="2"/>
  <c r="O1411" i="2" s="1"/>
  <c r="L1410" i="2"/>
  <c r="O1410" i="2" s="1"/>
  <c r="L1404" i="2"/>
  <c r="O1404" i="2" s="1"/>
  <c r="L1403" i="2"/>
  <c r="O1403" i="2" s="1"/>
  <c r="L1397" i="2"/>
  <c r="O1397" i="2" s="1"/>
  <c r="L1396" i="2"/>
  <c r="O1396" i="2" s="1"/>
  <c r="L1395" i="2"/>
  <c r="O1395" i="2" s="1"/>
  <c r="L1364" i="2"/>
  <c r="O1364" i="2" s="1"/>
  <c r="L1363" i="2"/>
  <c r="O1363" i="2" s="1"/>
  <c r="L1362" i="2"/>
  <c r="O1362" i="2" s="1"/>
  <c r="L1359" i="2"/>
  <c r="O1359" i="2" s="1"/>
  <c r="L1358" i="2"/>
  <c r="O1358" i="2" s="1"/>
  <c r="L1357" i="2"/>
  <c r="O1357" i="2" s="1"/>
  <c r="L1348" i="2"/>
  <c r="O1348" i="2" s="1"/>
  <c r="L1336" i="2"/>
  <c r="O1336" i="2" s="1"/>
  <c r="L1335" i="2"/>
  <c r="O1335" i="2" s="1"/>
  <c r="L1334" i="2"/>
  <c r="O1334" i="2" s="1"/>
  <c r="L1333" i="2"/>
  <c r="O1333" i="2" s="1"/>
  <c r="L1332" i="2"/>
  <c r="O1332" i="2" s="1"/>
  <c r="L1315" i="2"/>
  <c r="O1315" i="2" s="1"/>
  <c r="L1314" i="2"/>
  <c r="O1314" i="2" s="1"/>
  <c r="L1313" i="2"/>
  <c r="O1313" i="2" s="1"/>
  <c r="L1312" i="2"/>
  <c r="O1312" i="2" s="1"/>
  <c r="L1311" i="2"/>
  <c r="O1311" i="2" s="1"/>
  <c r="L1289" i="2"/>
  <c r="O1289" i="2" s="1"/>
  <c r="L1279" i="2"/>
  <c r="O1279" i="2" s="1"/>
  <c r="L1278" i="2"/>
  <c r="O1278" i="2" s="1"/>
  <c r="L1277" i="2"/>
  <c r="O1277" i="2" s="1"/>
  <c r="L1238" i="2"/>
  <c r="O1238" i="2" s="1"/>
  <c r="L1230" i="2"/>
  <c r="O1230" i="2" s="1"/>
  <c r="L1229" i="2"/>
  <c r="O1229" i="2" s="1"/>
  <c r="L1225" i="2"/>
  <c r="O1225" i="2" s="1"/>
  <c r="L1224" i="2"/>
  <c r="O1224" i="2" s="1"/>
  <c r="L1221" i="2"/>
  <c r="O1221" i="2" s="1"/>
  <c r="L1220" i="2"/>
  <c r="O1220" i="2" s="1"/>
  <c r="L1181" i="2"/>
  <c r="O1181" i="2" s="1"/>
  <c r="L1177" i="2"/>
  <c r="O1177" i="2" s="1"/>
  <c r="L1176" i="2"/>
  <c r="O1176" i="2" s="1"/>
  <c r="L1170" i="2"/>
  <c r="O1170" i="2" s="1"/>
  <c r="L1169" i="2"/>
  <c r="O1169" i="2" s="1"/>
  <c r="L1168" i="2"/>
  <c r="O1168" i="2" s="1"/>
  <c r="L1166" i="2"/>
  <c r="O1166" i="2" s="1"/>
  <c r="L1165" i="2"/>
  <c r="O1165" i="2" s="1"/>
  <c r="L1164" i="2"/>
  <c r="O1164" i="2" s="1"/>
  <c r="L1163" i="2"/>
  <c r="O1163" i="2" s="1"/>
  <c r="L1137" i="2"/>
  <c r="O1137" i="2" s="1"/>
  <c r="L1126" i="2"/>
  <c r="O1126" i="2" s="1"/>
  <c r="L1119" i="2"/>
  <c r="O1119" i="2" s="1"/>
  <c r="L1118" i="2"/>
  <c r="O1118" i="2" s="1"/>
  <c r="L1117" i="2"/>
  <c r="O1117" i="2" s="1"/>
  <c r="L1113" i="2"/>
  <c r="O1113" i="2" s="1"/>
  <c r="L1112" i="2"/>
  <c r="O1112" i="2" s="1"/>
  <c r="L1078" i="2"/>
  <c r="O1078" i="2" s="1"/>
  <c r="L1077" i="2"/>
  <c r="O1077" i="2" s="1"/>
  <c r="L1076" i="2"/>
  <c r="O1076" i="2" s="1"/>
  <c r="L1075" i="2"/>
  <c r="O1075" i="2" s="1"/>
  <c r="L1074" i="2"/>
  <c r="O1074" i="2" s="1"/>
  <c r="L1064" i="2"/>
  <c r="O1064" i="2" s="1"/>
  <c r="L1063" i="2"/>
  <c r="O1063" i="2" s="1"/>
  <c r="L1062" i="2"/>
  <c r="O1062" i="2" s="1"/>
  <c r="L1061" i="2"/>
  <c r="O1061" i="2" s="1"/>
  <c r="L1060" i="2"/>
  <c r="O1060" i="2" s="1"/>
  <c r="L1051" i="2"/>
  <c r="O1051" i="2" s="1"/>
  <c r="L1050" i="2"/>
  <c r="O1050" i="2" s="1"/>
  <c r="L1005" i="2"/>
  <c r="O1005" i="2" s="1"/>
  <c r="L998" i="2"/>
  <c r="O998" i="2" s="1"/>
  <c r="L987" i="2"/>
  <c r="O987" i="2" s="1"/>
  <c r="L986" i="2"/>
  <c r="O986" i="2" s="1"/>
  <c r="L985" i="2"/>
  <c r="O985" i="2" s="1"/>
  <c r="L984" i="2"/>
  <c r="O984" i="2" s="1"/>
  <c r="L983" i="2"/>
  <c r="O983" i="2" s="1"/>
  <c r="L942" i="2"/>
  <c r="O942" i="2" s="1"/>
  <c r="L941" i="2"/>
  <c r="O941" i="2" s="1"/>
  <c r="L937" i="2"/>
  <c r="O937" i="2" s="1"/>
  <c r="L926" i="2"/>
  <c r="O926" i="2" s="1"/>
  <c r="L925" i="2"/>
  <c r="O925" i="2" s="1"/>
  <c r="L924" i="2"/>
  <c r="O924" i="2" s="1"/>
  <c r="L923" i="2"/>
  <c r="O923" i="2" s="1"/>
  <c r="L887" i="2"/>
  <c r="O887" i="2" s="1"/>
  <c r="L886" i="2"/>
  <c r="O886" i="2" s="1"/>
  <c r="L885" i="2"/>
  <c r="O885" i="2" s="1"/>
  <c r="L884" i="2"/>
  <c r="O884" i="2" s="1"/>
  <c r="L883" i="2"/>
  <c r="O883" i="2" s="1"/>
  <c r="L882" i="2"/>
  <c r="O882" i="2" s="1"/>
  <c r="L881" i="2"/>
  <c r="O881" i="2" s="1"/>
  <c r="L880" i="2"/>
  <c r="O880" i="2" s="1"/>
  <c r="L879" i="2"/>
  <c r="O879" i="2" s="1"/>
  <c r="L878" i="2"/>
  <c r="O878" i="2" s="1"/>
  <c r="L873" i="2"/>
  <c r="O873" i="2" s="1"/>
  <c r="L872" i="2"/>
  <c r="O872" i="2" s="1"/>
  <c r="L816" i="2"/>
  <c r="O816" i="2" s="1"/>
  <c r="L815" i="2"/>
  <c r="O815" i="2" s="1"/>
  <c r="L814" i="2"/>
  <c r="O814" i="2" s="1"/>
  <c r="L813" i="2"/>
  <c r="O813" i="2" s="1"/>
  <c r="L790" i="2"/>
  <c r="O790" i="2" s="1"/>
  <c r="L789" i="2"/>
  <c r="O789" i="2" s="1"/>
  <c r="L788" i="2"/>
  <c r="O788" i="2" s="1"/>
  <c r="L787" i="2"/>
  <c r="O787" i="2" s="1"/>
  <c r="L786" i="2"/>
  <c r="O786" i="2" s="1"/>
  <c r="L785" i="2"/>
  <c r="O785" i="2" s="1"/>
  <c r="L784" i="2"/>
  <c r="O784" i="2" s="1"/>
  <c r="L783" i="2"/>
  <c r="O783" i="2" s="1"/>
  <c r="L781" i="2"/>
  <c r="O781" i="2" s="1"/>
  <c r="L780" i="2"/>
  <c r="O780" i="2" s="1"/>
  <c r="L745" i="2"/>
  <c r="O745" i="2" s="1"/>
  <c r="L740" i="2"/>
  <c r="O740" i="2" s="1"/>
  <c r="L739" i="2"/>
  <c r="O739" i="2" s="1"/>
  <c r="L738" i="2"/>
  <c r="O738" i="2" s="1"/>
  <c r="L734" i="2"/>
  <c r="O734" i="2" s="1"/>
  <c r="L696" i="2"/>
  <c r="O696" i="2" s="1"/>
  <c r="L695" i="2"/>
  <c r="O695" i="2" s="1"/>
  <c r="L694" i="2"/>
  <c r="O694" i="2" s="1"/>
  <c r="L693" i="2"/>
  <c r="O693" i="2" s="1"/>
  <c r="L692" i="2"/>
  <c r="O692" i="2" s="1"/>
  <c r="L691" i="2"/>
  <c r="O691" i="2" s="1"/>
  <c r="L690" i="2"/>
  <c r="O690" i="2" s="1"/>
  <c r="L689" i="2"/>
  <c r="O689" i="2" s="1"/>
  <c r="L688" i="2"/>
  <c r="O688" i="2" s="1"/>
  <c r="L687" i="2"/>
  <c r="O687" i="2" s="1"/>
  <c r="L686" i="2"/>
  <c r="O686" i="2" s="1"/>
  <c r="L685" i="2"/>
  <c r="O685" i="2" s="1"/>
  <c r="L684" i="2"/>
  <c r="O684" i="2" s="1"/>
  <c r="L683" i="2"/>
  <c r="O683" i="2" s="1"/>
  <c r="L682" i="2"/>
  <c r="O682" i="2" s="1"/>
  <c r="L681" i="2"/>
  <c r="O681" i="2" s="1"/>
  <c r="L680" i="2"/>
  <c r="O680" i="2" s="1"/>
  <c r="L679" i="2"/>
  <c r="O679" i="2" s="1"/>
  <c r="L630" i="2"/>
  <c r="O630" i="2" s="1"/>
  <c r="L625" i="2"/>
  <c r="O625" i="2" s="1"/>
  <c r="L624" i="2"/>
  <c r="O624" i="2" s="1"/>
  <c r="L612" i="2"/>
  <c r="O612" i="2" s="1"/>
  <c r="L611" i="2"/>
  <c r="O611" i="2" s="1"/>
  <c r="L610" i="2"/>
  <c r="O610" i="2" s="1"/>
  <c r="L609" i="2"/>
  <c r="O609" i="2" s="1"/>
  <c r="L608" i="2"/>
  <c r="O608" i="2" s="1"/>
  <c r="L607" i="2"/>
  <c r="O607" i="2" s="1"/>
  <c r="L606" i="2"/>
  <c r="O606" i="2" s="1"/>
  <c r="L605" i="2"/>
  <c r="O605" i="2" s="1"/>
  <c r="L604" i="2"/>
  <c r="O604" i="2" s="1"/>
  <c r="L603" i="2"/>
  <c r="O603" i="2" s="1"/>
  <c r="L602" i="2"/>
  <c r="O602" i="2" s="1"/>
  <c r="L601" i="2"/>
  <c r="O601" i="2" s="1"/>
  <c r="L600" i="2"/>
  <c r="O600" i="2" s="1"/>
  <c r="L599" i="2"/>
  <c r="O599" i="2" s="1"/>
  <c r="L598" i="2"/>
  <c r="O598" i="2" s="1"/>
  <c r="L597" i="2"/>
  <c r="O597" i="2" s="1"/>
  <c r="L595" i="2"/>
  <c r="O595" i="2" s="1"/>
  <c r="L594" i="2"/>
  <c r="O594" i="2" s="1"/>
  <c r="L557" i="2"/>
  <c r="O557" i="2" s="1"/>
  <c r="L556" i="2"/>
  <c r="O556" i="2" s="1"/>
  <c r="L518" i="2"/>
  <c r="O518" i="2" s="1"/>
  <c r="L517" i="2"/>
  <c r="O517" i="2" s="1"/>
  <c r="L516" i="2"/>
  <c r="O516" i="2" s="1"/>
  <c r="L515" i="2"/>
  <c r="O515" i="2" s="1"/>
  <c r="L514" i="2"/>
  <c r="O514" i="2" s="1"/>
  <c r="L506" i="2"/>
  <c r="O506" i="2" s="1"/>
  <c r="L504" i="2"/>
  <c r="O504" i="2" s="1"/>
  <c r="L501" i="2"/>
  <c r="O501" i="2" s="1"/>
  <c r="L474" i="2"/>
  <c r="O474" i="2" s="1"/>
  <c r="L473" i="2"/>
  <c r="O473" i="2" s="1"/>
  <c r="L464" i="2"/>
  <c r="O464" i="2" s="1"/>
  <c r="L463" i="2"/>
  <c r="O463" i="2" s="1"/>
  <c r="L462" i="2"/>
  <c r="O462" i="2" s="1"/>
  <c r="L461" i="2"/>
  <c r="O461" i="2" s="1"/>
  <c r="L460" i="2"/>
  <c r="O460" i="2" s="1"/>
  <c r="L459" i="2"/>
  <c r="O459" i="2" s="1"/>
  <c r="L458" i="2"/>
  <c r="O458" i="2" s="1"/>
  <c r="L457" i="2"/>
  <c r="O457" i="2" s="1"/>
  <c r="L456" i="2"/>
  <c r="O456" i="2" s="1"/>
  <c r="L455" i="2"/>
  <c r="O455" i="2" s="1"/>
  <c r="L454" i="2"/>
  <c r="O454" i="2" s="1"/>
  <c r="L433" i="2"/>
  <c r="O433" i="2" s="1"/>
  <c r="L432" i="2"/>
  <c r="O432" i="2" s="1"/>
  <c r="L431" i="2"/>
  <c r="O431" i="2" s="1"/>
  <c r="L430" i="2"/>
  <c r="O430" i="2" s="1"/>
  <c r="L423" i="2"/>
  <c r="O423" i="2" s="1"/>
  <c r="L401" i="2"/>
  <c r="O401" i="2" s="1"/>
  <c r="L400" i="2"/>
  <c r="O400" i="2" s="1"/>
  <c r="L399" i="2"/>
  <c r="O399" i="2" s="1"/>
  <c r="L398" i="2"/>
  <c r="O398" i="2" s="1"/>
  <c r="L393" i="2"/>
  <c r="O393" i="2" s="1"/>
  <c r="L392" i="2"/>
  <c r="O392" i="2" s="1"/>
  <c r="L373" i="2"/>
  <c r="O373" i="2" s="1"/>
  <c r="L370" i="2"/>
  <c r="O370" i="2" s="1"/>
  <c r="L362" i="2"/>
  <c r="O362" i="2" s="1"/>
  <c r="L361" i="2"/>
  <c r="O361" i="2" s="1"/>
  <c r="L360" i="2"/>
  <c r="O360" i="2" s="1"/>
  <c r="L343" i="2"/>
  <c r="O343" i="2" s="1"/>
  <c r="L342" i="2"/>
  <c r="O342" i="2" s="1"/>
  <c r="L341" i="2"/>
  <c r="O341" i="2" s="1"/>
  <c r="L339" i="2"/>
  <c r="O339" i="2" s="1"/>
  <c r="L333" i="2"/>
  <c r="O333" i="2" s="1"/>
  <c r="L323" i="2"/>
  <c r="O323" i="2" s="1"/>
  <c r="L311" i="2"/>
  <c r="O311" i="2" s="1"/>
  <c r="L310" i="2"/>
  <c r="O310" i="2" s="1"/>
  <c r="L309" i="2"/>
  <c r="O309" i="2" s="1"/>
  <c r="L308" i="2"/>
  <c r="O308" i="2" s="1"/>
  <c r="L307" i="2"/>
  <c r="O307" i="2" s="1"/>
  <c r="L293" i="2"/>
  <c r="O293" i="2" s="1"/>
  <c r="L272" i="2"/>
  <c r="O272" i="2" s="1"/>
  <c r="L270" i="2"/>
  <c r="O270" i="2" s="1"/>
  <c r="L262" i="2"/>
  <c r="O262" i="2" s="1"/>
  <c r="L261" i="2"/>
  <c r="O261" i="2" s="1"/>
  <c r="L258" i="2"/>
  <c r="O258" i="2" s="1"/>
  <c r="L243" i="2"/>
  <c r="O243" i="2" s="1"/>
  <c r="L242" i="2"/>
  <c r="O242" i="2" s="1"/>
  <c r="L240" i="2"/>
  <c r="O240" i="2" s="1"/>
  <c r="L239" i="2"/>
  <c r="O239" i="2" s="1"/>
  <c r="L238" i="2"/>
  <c r="O238" i="2" s="1"/>
  <c r="L237" i="2"/>
  <c r="O237" i="2" s="1"/>
  <c r="L236" i="2"/>
  <c r="O236" i="2" s="1"/>
  <c r="L235" i="2"/>
  <c r="O235" i="2" s="1"/>
  <c r="L234" i="2"/>
  <c r="O234" i="2" s="1"/>
  <c r="L225" i="2"/>
  <c r="O225" i="2" s="1"/>
  <c r="L224" i="2"/>
  <c r="O224" i="2" s="1"/>
  <c r="L223" i="2"/>
  <c r="O223" i="2" s="1"/>
  <c r="L222" i="2"/>
  <c r="O222" i="2" s="1"/>
  <c r="L221" i="2"/>
  <c r="O221" i="2" s="1"/>
  <c r="L216" i="2"/>
  <c r="O216" i="2" s="1"/>
  <c r="L215" i="2"/>
  <c r="O215" i="2" s="1"/>
  <c r="L214" i="2"/>
  <c r="O214" i="2" s="1"/>
  <c r="L209" i="2"/>
  <c r="O209" i="2" s="1"/>
  <c r="L205" i="2"/>
  <c r="O205" i="2" s="1"/>
  <c r="L204" i="2"/>
  <c r="O204" i="2" s="1"/>
  <c r="L203" i="2"/>
  <c r="O203" i="2" s="1"/>
  <c r="L200" i="2"/>
  <c r="O200" i="2" s="1"/>
  <c r="L199" i="2"/>
  <c r="O199" i="2" s="1"/>
  <c r="L198" i="2"/>
  <c r="O198" i="2" s="1"/>
  <c r="L196" i="2"/>
  <c r="O196" i="2" s="1"/>
  <c r="L184" i="2"/>
  <c r="O184" i="2" s="1"/>
  <c r="L175" i="2"/>
  <c r="O175" i="2" s="1"/>
  <c r="L174" i="2"/>
  <c r="O174" i="2" s="1"/>
  <c r="L173" i="2"/>
  <c r="O173" i="2" s="1"/>
  <c r="L172" i="2"/>
  <c r="O172" i="2" s="1"/>
  <c r="L171" i="2"/>
  <c r="O171" i="2" s="1"/>
  <c r="L170" i="2"/>
  <c r="O170" i="2" s="1"/>
  <c r="L169" i="2"/>
  <c r="O169" i="2" s="1"/>
  <c r="L161" i="2"/>
  <c r="O161" i="2" s="1"/>
  <c r="L160" i="2"/>
  <c r="O160" i="2" s="1"/>
  <c r="L158" i="2"/>
  <c r="O158" i="2" s="1"/>
  <c r="L154" i="2"/>
  <c r="O154" i="2" s="1"/>
  <c r="L153" i="2"/>
  <c r="O153" i="2" s="1"/>
  <c r="L152" i="2"/>
  <c r="O152" i="2" s="1"/>
  <c r="L151" i="2"/>
  <c r="O151" i="2" s="1"/>
  <c r="L150" i="2"/>
  <c r="O150" i="2" s="1"/>
  <c r="L143" i="2"/>
  <c r="O143" i="2" s="1"/>
  <c r="L139" i="2"/>
  <c r="O139" i="2" s="1"/>
  <c r="L138" i="2"/>
  <c r="O138" i="2" s="1"/>
  <c r="L134" i="2"/>
  <c r="O134" i="2" s="1"/>
  <c r="L131" i="2"/>
  <c r="O131" i="2" s="1"/>
  <c r="L130" i="2"/>
  <c r="O130" i="2" s="1"/>
  <c r="L126" i="2"/>
  <c r="O126" i="2" s="1"/>
  <c r="L125" i="2"/>
  <c r="O125" i="2" s="1"/>
  <c r="L121" i="2"/>
  <c r="O121" i="2" s="1"/>
  <c r="L120" i="2"/>
  <c r="O120" i="2" s="1"/>
  <c r="L118" i="2"/>
  <c r="O118" i="2" s="1"/>
  <c r="L112" i="2"/>
  <c r="O112" i="2" s="1"/>
  <c r="L110" i="2"/>
  <c r="O110" i="2" s="1"/>
  <c r="L109" i="2"/>
  <c r="O109" i="2" s="1"/>
  <c r="L108" i="2"/>
  <c r="O108" i="2" s="1"/>
  <c r="L107" i="2"/>
  <c r="O107" i="2" s="1"/>
  <c r="L100" i="2"/>
  <c r="O100" i="2" s="1"/>
  <c r="L99" i="2"/>
  <c r="O99" i="2" s="1"/>
  <c r="L98" i="2"/>
  <c r="O98" i="2" s="1"/>
  <c r="L93" i="2"/>
  <c r="O93" i="2" s="1"/>
  <c r="L92" i="2"/>
  <c r="O92" i="2" s="1"/>
  <c r="L87" i="2"/>
  <c r="O87" i="2" s="1"/>
  <c r="L86" i="2"/>
  <c r="O86" i="2" s="1"/>
  <c r="L82" i="2"/>
  <c r="O82" i="2" s="1"/>
  <c r="L81" i="2"/>
  <c r="O81" i="2" s="1"/>
  <c r="L80" i="2"/>
  <c r="O80" i="2" s="1"/>
  <c r="L79" i="2"/>
  <c r="O79" i="2" s="1"/>
  <c r="L78" i="2"/>
  <c r="O78" i="2" s="1"/>
  <c r="L77" i="2"/>
  <c r="O77" i="2" s="1"/>
  <c r="L72" i="2"/>
  <c r="O72" i="2" s="1"/>
  <c r="L68" i="2"/>
  <c r="O68" i="2" s="1"/>
  <c r="L67" i="2"/>
  <c r="O67" i="2" s="1"/>
  <c r="L64" i="2"/>
  <c r="O64" i="2" s="1"/>
  <c r="L63" i="2"/>
  <c r="O63" i="2" s="1"/>
  <c r="L61" i="2"/>
  <c r="O61" i="2" s="1"/>
  <c r="L60" i="2"/>
  <c r="O60" i="2" s="1"/>
  <c r="L55" i="2"/>
  <c r="O55" i="2" s="1"/>
  <c r="L53" i="2"/>
  <c r="O53" i="2" s="1"/>
  <c r="L52" i="2"/>
  <c r="O52" i="2" s="1"/>
  <c r="L47" i="2"/>
  <c r="O47" i="2" s="1"/>
  <c r="L42" i="2"/>
  <c r="O42" i="2" s="1"/>
  <c r="L41" i="2"/>
  <c r="O41" i="2" s="1"/>
  <c r="L40" i="2"/>
  <c r="O40" i="2" s="1"/>
  <c r="L39" i="2"/>
  <c r="O39" i="2" s="1"/>
  <c r="L37" i="2"/>
  <c r="O37" i="2" s="1"/>
  <c r="L36" i="2"/>
  <c r="O36" i="2" s="1"/>
  <c r="L33" i="2"/>
  <c r="O33" i="2" s="1"/>
  <c r="L32" i="2"/>
  <c r="O32" i="2" s="1"/>
  <c r="L31" i="2"/>
  <c r="O31" i="2" s="1"/>
  <c r="L30" i="2"/>
  <c r="O30" i="2" s="1"/>
  <c r="L29" i="2"/>
  <c r="O29" i="2" s="1"/>
  <c r="L26" i="2"/>
  <c r="O26" i="2" s="1"/>
  <c r="L25" i="2"/>
  <c r="O25" i="2" s="1"/>
  <c r="L24" i="2"/>
  <c r="O24" i="2" s="1"/>
  <c r="L23" i="2"/>
  <c r="O23" i="2" s="1"/>
  <c r="L22" i="2"/>
  <c r="O22" i="2" s="1"/>
  <c r="L20" i="2"/>
  <c r="O20" i="2" s="1"/>
  <c r="L19" i="2"/>
  <c r="O19" i="2" s="1"/>
  <c r="L18" i="2"/>
  <c r="O18" i="2" s="1"/>
  <c r="L16" i="2"/>
  <c r="O16" i="2" s="1"/>
  <c r="L14" i="2"/>
  <c r="O14" i="2" s="1"/>
  <c r="L13" i="2"/>
  <c r="O13" i="2" s="1"/>
  <c r="L11" i="2"/>
  <c r="O11" i="2" s="1"/>
  <c r="L10" i="2"/>
  <c r="O10" i="2" s="1"/>
  <c r="L6" i="2"/>
  <c r="O6" i="2" s="1"/>
  <c r="L5" i="2"/>
  <c r="O5" i="2" s="1"/>
  <c r="L4" i="2"/>
  <c r="O4" i="2" s="1"/>
  <c r="L2" i="2"/>
  <c r="O2" i="2" s="1"/>
  <c r="M3" i="2"/>
  <c r="M8" i="2"/>
  <c r="M9" i="2"/>
  <c r="M12" i="2"/>
  <c r="M15" i="2"/>
  <c r="M17" i="2"/>
  <c r="M21" i="2"/>
  <c r="M27" i="2"/>
  <c r="M28" i="2"/>
  <c r="M34" i="2"/>
  <c r="M35" i="2"/>
  <c r="M38" i="2"/>
  <c r="M43" i="2"/>
  <c r="M44" i="2"/>
  <c r="M45" i="2"/>
  <c r="M46" i="2"/>
  <c r="M48" i="2"/>
  <c r="M49" i="2"/>
  <c r="M50" i="2"/>
  <c r="M51" i="2"/>
  <c r="M54" i="2"/>
  <c r="M56" i="2"/>
  <c r="M57" i="2"/>
  <c r="M58" i="2"/>
  <c r="M59" i="2"/>
  <c r="M62" i="2"/>
  <c r="M65" i="2"/>
  <c r="M66" i="2"/>
  <c r="M69" i="2"/>
  <c r="M70" i="2"/>
  <c r="M71" i="2"/>
  <c r="M73" i="2"/>
  <c r="M74" i="2"/>
  <c r="M75" i="2"/>
  <c r="M76" i="2"/>
  <c r="M83" i="2"/>
  <c r="M84" i="2"/>
  <c r="M85" i="2"/>
  <c r="M88" i="2"/>
  <c r="M89" i="2"/>
  <c r="M90" i="2"/>
  <c r="M91" i="2"/>
  <c r="M94" i="2"/>
  <c r="M95" i="2"/>
  <c r="M96" i="2"/>
  <c r="M97" i="2"/>
  <c r="M101" i="2"/>
  <c r="M102" i="2"/>
  <c r="M103" i="2"/>
  <c r="M104" i="2"/>
  <c r="M105" i="2"/>
  <c r="M106" i="2"/>
  <c r="M111" i="2"/>
  <c r="M113" i="2"/>
  <c r="M114" i="2"/>
  <c r="M115" i="2"/>
  <c r="M116" i="2"/>
  <c r="M117" i="2"/>
  <c r="M119" i="2"/>
  <c r="M122" i="2"/>
  <c r="M123" i="2"/>
  <c r="M124" i="2"/>
  <c r="M127" i="2"/>
  <c r="M128" i="2"/>
  <c r="M129" i="2"/>
  <c r="M132" i="2"/>
  <c r="M133" i="2"/>
  <c r="M135" i="2"/>
  <c r="M136" i="2"/>
  <c r="M137" i="2"/>
  <c r="M140" i="2"/>
  <c r="M141" i="2"/>
  <c r="M142" i="2"/>
  <c r="M144" i="2"/>
  <c r="M145" i="2"/>
  <c r="M146" i="2"/>
  <c r="M147" i="2"/>
  <c r="M148" i="2"/>
  <c r="M149" i="2"/>
  <c r="M155" i="2"/>
  <c r="M156" i="2"/>
  <c r="M157" i="2"/>
  <c r="M159" i="2"/>
  <c r="M162" i="2"/>
  <c r="M163" i="2"/>
  <c r="M164" i="2"/>
  <c r="M165" i="2"/>
  <c r="M166" i="2"/>
  <c r="M167" i="2"/>
  <c r="M168" i="2"/>
  <c r="M176" i="2"/>
  <c r="M177" i="2"/>
  <c r="M178" i="2"/>
  <c r="M179" i="2"/>
  <c r="M180" i="2"/>
  <c r="M181" i="2"/>
  <c r="M182" i="2"/>
  <c r="M183" i="2"/>
  <c r="M185" i="2"/>
  <c r="M186" i="2"/>
  <c r="M187" i="2"/>
  <c r="M188" i="2"/>
  <c r="M189" i="2"/>
  <c r="M190" i="2"/>
  <c r="M191" i="2"/>
  <c r="M192" i="2"/>
  <c r="M193" i="2"/>
  <c r="M194" i="2"/>
  <c r="M195" i="2"/>
  <c r="M197" i="2"/>
  <c r="M201" i="2"/>
  <c r="M202" i="2"/>
  <c r="M206" i="2"/>
  <c r="M207" i="2"/>
  <c r="M208" i="2"/>
  <c r="M210" i="2"/>
  <c r="M211" i="2"/>
  <c r="M212" i="2"/>
  <c r="M213" i="2"/>
  <c r="M217" i="2"/>
  <c r="M218" i="2"/>
  <c r="M219" i="2"/>
  <c r="M220" i="2"/>
  <c r="M226" i="2"/>
  <c r="M227" i="2"/>
  <c r="M228" i="2"/>
  <c r="M229" i="2"/>
  <c r="M230" i="2"/>
  <c r="M231" i="2"/>
  <c r="M232" i="2"/>
  <c r="M233" i="2"/>
  <c r="M241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9" i="2"/>
  <c r="M260" i="2"/>
  <c r="M263" i="2"/>
  <c r="M264" i="2"/>
  <c r="M265" i="2"/>
  <c r="M266" i="2"/>
  <c r="M267" i="2"/>
  <c r="M268" i="2"/>
  <c r="M269" i="2"/>
  <c r="M271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12" i="2"/>
  <c r="M313" i="2"/>
  <c r="M314" i="2"/>
  <c r="M315" i="2"/>
  <c r="M316" i="2"/>
  <c r="M317" i="2"/>
  <c r="M318" i="2"/>
  <c r="M319" i="2"/>
  <c r="M320" i="2"/>
  <c r="M321" i="2"/>
  <c r="M322" i="2"/>
  <c r="M324" i="2"/>
  <c r="M325" i="2"/>
  <c r="M326" i="2"/>
  <c r="M327" i="2"/>
  <c r="M328" i="2"/>
  <c r="M329" i="2"/>
  <c r="M330" i="2"/>
  <c r="M331" i="2"/>
  <c r="M332" i="2"/>
  <c r="M334" i="2"/>
  <c r="M335" i="2"/>
  <c r="M336" i="2"/>
  <c r="M337" i="2"/>
  <c r="M338" i="2"/>
  <c r="M340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3" i="2"/>
  <c r="M364" i="2"/>
  <c r="M365" i="2"/>
  <c r="M366" i="2"/>
  <c r="M367" i="2"/>
  <c r="M368" i="2"/>
  <c r="M369" i="2"/>
  <c r="M371" i="2"/>
  <c r="M372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4" i="2"/>
  <c r="M395" i="2"/>
  <c r="M396" i="2"/>
  <c r="M397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4" i="2"/>
  <c r="M425" i="2"/>
  <c r="M426" i="2"/>
  <c r="M427" i="2"/>
  <c r="M428" i="2"/>
  <c r="M429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65" i="2"/>
  <c r="M466" i="2"/>
  <c r="M467" i="2"/>
  <c r="M468" i="2"/>
  <c r="M469" i="2"/>
  <c r="M470" i="2"/>
  <c r="M471" i="2"/>
  <c r="M472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2" i="2"/>
  <c r="M503" i="2"/>
  <c r="M505" i="2"/>
  <c r="M507" i="2"/>
  <c r="M508" i="2"/>
  <c r="M509" i="2"/>
  <c r="M510" i="2"/>
  <c r="M511" i="2"/>
  <c r="M512" i="2"/>
  <c r="M513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6" i="2"/>
  <c r="M613" i="2"/>
  <c r="M614" i="2"/>
  <c r="M615" i="2"/>
  <c r="M616" i="2"/>
  <c r="M617" i="2"/>
  <c r="M618" i="2"/>
  <c r="M619" i="2"/>
  <c r="M620" i="2"/>
  <c r="M621" i="2"/>
  <c r="M622" i="2"/>
  <c r="M623" i="2"/>
  <c r="M626" i="2"/>
  <c r="M627" i="2"/>
  <c r="M628" i="2"/>
  <c r="M629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1" i="2"/>
  <c r="M662" i="2"/>
  <c r="M660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5" i="2"/>
  <c r="M736" i="2"/>
  <c r="M737" i="2"/>
  <c r="M741" i="2"/>
  <c r="M742" i="2"/>
  <c r="M743" i="2"/>
  <c r="M744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2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4" i="2"/>
  <c r="M875" i="2"/>
  <c r="M876" i="2"/>
  <c r="M87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7" i="2"/>
  <c r="M921" i="2"/>
  <c r="M922" i="2"/>
  <c r="M928" i="2"/>
  <c r="M929" i="2"/>
  <c r="M930" i="2"/>
  <c r="M931" i="2"/>
  <c r="M932" i="2"/>
  <c r="M933" i="2"/>
  <c r="M934" i="2"/>
  <c r="M935" i="2"/>
  <c r="M936" i="2"/>
  <c r="M938" i="2"/>
  <c r="M939" i="2"/>
  <c r="M940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8" i="2"/>
  <c r="M989" i="2"/>
  <c r="M990" i="2"/>
  <c r="M991" i="2"/>
  <c r="M992" i="2"/>
  <c r="M993" i="2"/>
  <c r="M994" i="2"/>
  <c r="M995" i="2"/>
  <c r="M996" i="2"/>
  <c r="M997" i="2"/>
  <c r="M999" i="2"/>
  <c r="M1000" i="2"/>
  <c r="M1001" i="2"/>
  <c r="M1002" i="2"/>
  <c r="M1003" i="2"/>
  <c r="M1004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2" i="2"/>
  <c r="M1053" i="2"/>
  <c r="M1054" i="2"/>
  <c r="M1055" i="2"/>
  <c r="M1056" i="2"/>
  <c r="M1057" i="2"/>
  <c r="M1058" i="2"/>
  <c r="M1059" i="2"/>
  <c r="M1065" i="2"/>
  <c r="M1066" i="2"/>
  <c r="M1067" i="2"/>
  <c r="M1068" i="2"/>
  <c r="M1069" i="2"/>
  <c r="M1070" i="2"/>
  <c r="M1071" i="2"/>
  <c r="M1072" i="2"/>
  <c r="M1073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4" i="2"/>
  <c r="M1115" i="2"/>
  <c r="M1116" i="2"/>
  <c r="M1120" i="2"/>
  <c r="M1121" i="2"/>
  <c r="M1122" i="2"/>
  <c r="M1123" i="2"/>
  <c r="M1124" i="2"/>
  <c r="M1125" i="2"/>
  <c r="M1127" i="2"/>
  <c r="M1128" i="2"/>
  <c r="M1129" i="2"/>
  <c r="M1130" i="2"/>
  <c r="M1131" i="2"/>
  <c r="M1132" i="2"/>
  <c r="M1133" i="2"/>
  <c r="M1134" i="2"/>
  <c r="M1135" i="2"/>
  <c r="M1136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7" i="2"/>
  <c r="M1171" i="2"/>
  <c r="M1172" i="2"/>
  <c r="M1173" i="2"/>
  <c r="M1174" i="2"/>
  <c r="M1175" i="2"/>
  <c r="M1178" i="2"/>
  <c r="M1179" i="2"/>
  <c r="M1180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2" i="2"/>
  <c r="M1223" i="2"/>
  <c r="M1226" i="2"/>
  <c r="M1227" i="2"/>
  <c r="M1228" i="2"/>
  <c r="M1231" i="2"/>
  <c r="M1232" i="2"/>
  <c r="M1233" i="2"/>
  <c r="M1234" i="2"/>
  <c r="M1235" i="2"/>
  <c r="M1236" i="2"/>
  <c r="M1237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80" i="2"/>
  <c r="M1281" i="2"/>
  <c r="M1282" i="2"/>
  <c r="M1283" i="2"/>
  <c r="M1284" i="2"/>
  <c r="M1285" i="2"/>
  <c r="M1286" i="2"/>
  <c r="M1287" i="2"/>
  <c r="M1288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7" i="2"/>
  <c r="M1338" i="2"/>
  <c r="M1339" i="2"/>
  <c r="M1340" i="2"/>
  <c r="M1341" i="2"/>
  <c r="M1342" i="2"/>
  <c r="M1343" i="2"/>
  <c r="M1344" i="2"/>
  <c r="M1345" i="2"/>
  <c r="M1346" i="2"/>
  <c r="M1347" i="2"/>
  <c r="M1349" i="2"/>
  <c r="M1350" i="2"/>
  <c r="M1351" i="2"/>
  <c r="M1352" i="2"/>
  <c r="M1353" i="2"/>
  <c r="M1354" i="2"/>
  <c r="M1355" i="2"/>
  <c r="M1356" i="2"/>
  <c r="M1360" i="2"/>
  <c r="M1361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8" i="2"/>
  <c r="M1399" i="2"/>
  <c r="M1400" i="2"/>
  <c r="M1401" i="2"/>
  <c r="M1402" i="2"/>
  <c r="M1405" i="2"/>
  <c r="M1406" i="2"/>
  <c r="M1407" i="2"/>
  <c r="M1408" i="2"/>
  <c r="M1409" i="2"/>
  <c r="M1412" i="2"/>
  <c r="M1413" i="2"/>
  <c r="M1414" i="2"/>
  <c r="M1415" i="2"/>
  <c r="M1416" i="2"/>
  <c r="M1417" i="2"/>
  <c r="M1418" i="2"/>
  <c r="M1419" i="2"/>
  <c r="M1420" i="2"/>
  <c r="M1424" i="2"/>
  <c r="M1425" i="2"/>
  <c r="M1426" i="2"/>
  <c r="M1427" i="2"/>
  <c r="M1428" i="2"/>
  <c r="M1429" i="2"/>
  <c r="M1430" i="2"/>
  <c r="M1431" i="2"/>
  <c r="M1432" i="2"/>
  <c r="M1434" i="2"/>
  <c r="M1435" i="2"/>
  <c r="M1436" i="2"/>
  <c r="M1437" i="2"/>
  <c r="M1438" i="2"/>
  <c r="M1439" i="2"/>
  <c r="M1440" i="2"/>
  <c r="M1441" i="2"/>
  <c r="M1443" i="2"/>
  <c r="M1444" i="2"/>
  <c r="M1445" i="2"/>
  <c r="M1450" i="2"/>
  <c r="M1451" i="2"/>
  <c r="M1452" i="2"/>
  <c r="M1453" i="2"/>
  <c r="M1454" i="2"/>
  <c r="M1456" i="2"/>
  <c r="M1457" i="2"/>
  <c r="M1458" i="2"/>
  <c r="M1459" i="2"/>
  <c r="M1462" i="2"/>
  <c r="M1465" i="2"/>
  <c r="M1466" i="2"/>
  <c r="M1467" i="2"/>
  <c r="M1468" i="2"/>
  <c r="M1469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4" i="2"/>
  <c r="M1496" i="2"/>
  <c r="M1497" i="2"/>
  <c r="M1498" i="2"/>
  <c r="M1499" i="2"/>
  <c r="M1500" i="2"/>
  <c r="M1501" i="2"/>
  <c r="M1502" i="2"/>
  <c r="M1504" i="2"/>
  <c r="M1505" i="2"/>
  <c r="M1506" i="2"/>
  <c r="M1507" i="2"/>
  <c r="M1508" i="2"/>
  <c r="M1513" i="2"/>
  <c r="M1514" i="2"/>
  <c r="M1515" i="2"/>
  <c r="M1516" i="2"/>
  <c r="M1517" i="2"/>
  <c r="M1518" i="2"/>
  <c r="M1519" i="2"/>
  <c r="M1520" i="2"/>
  <c r="M1521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50" i="2"/>
  <c r="M1551" i="2"/>
  <c r="M1552" i="2"/>
  <c r="M1553" i="2"/>
  <c r="M1555" i="2"/>
  <c r="M1556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6" i="2"/>
  <c r="M1667" i="2"/>
  <c r="M1673" i="2"/>
  <c r="M1674" i="2"/>
  <c r="M1675" i="2"/>
  <c r="M1676" i="2"/>
  <c r="M1677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9" i="2"/>
  <c r="M1700" i="2"/>
  <c r="M1701" i="2"/>
  <c r="M1702" i="2"/>
  <c r="M1703" i="2"/>
  <c r="M1704" i="2"/>
  <c r="M1706" i="2"/>
  <c r="M1707" i="2"/>
  <c r="M1709" i="2"/>
  <c r="M1711" i="2"/>
  <c r="M1712" i="2"/>
  <c r="M1713" i="2"/>
  <c r="M1714" i="2"/>
  <c r="M1715" i="2"/>
  <c r="M1716" i="2"/>
  <c r="M1717" i="2"/>
  <c r="M1720" i="2"/>
  <c r="M1721" i="2"/>
  <c r="M1722" i="2"/>
  <c r="M1723" i="2"/>
  <c r="M1724" i="2"/>
  <c r="M1725" i="2"/>
  <c r="M1726" i="2"/>
  <c r="M1727" i="2"/>
  <c r="M1728" i="2"/>
  <c r="M1729" i="2"/>
  <c r="M1730" i="2"/>
  <c r="M1732" i="2"/>
  <c r="M1733" i="2"/>
  <c r="M1734" i="2"/>
  <c r="M1735" i="2"/>
  <c r="M1736" i="2"/>
  <c r="M1737" i="2"/>
  <c r="M1740" i="2"/>
  <c r="M1741" i="2"/>
  <c r="M1742" i="2"/>
  <c r="M1743" i="2"/>
  <c r="M1744" i="2"/>
  <c r="M1745" i="2"/>
  <c r="M1746" i="2"/>
  <c r="M1747" i="2"/>
  <c r="M1748" i="2"/>
  <c r="M1749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9" i="2"/>
  <c r="M1772" i="2"/>
  <c r="M1773" i="2"/>
  <c r="M1774" i="2"/>
  <c r="M1775" i="2"/>
  <c r="M1776" i="2"/>
  <c r="M1777" i="2"/>
  <c r="M1780" i="2"/>
  <c r="M1781" i="2"/>
  <c r="M1782" i="2"/>
  <c r="M1783" i="2"/>
  <c r="M1784" i="2"/>
  <c r="M1787" i="2"/>
  <c r="M1789" i="2"/>
  <c r="M1790" i="2"/>
  <c r="M1791" i="2"/>
  <c r="M1792" i="2"/>
  <c r="M1793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L1598" i="2"/>
  <c r="M1598" i="2"/>
  <c r="L1599" i="2"/>
  <c r="M1599" i="2"/>
  <c r="M1597" i="2"/>
  <c r="L1597" i="2"/>
  <c r="O1597" i="2" s="1"/>
  <c r="E1771" i="2"/>
  <c r="D1771" i="2"/>
  <c r="C1771" i="2"/>
  <c r="B1771" i="2"/>
  <c r="A1771" i="2"/>
  <c r="E1770" i="2"/>
  <c r="D1770" i="2"/>
  <c r="B1770" i="2"/>
  <c r="A1770" i="2"/>
  <c r="E1544" i="2"/>
  <c r="L1544" i="2" s="1"/>
  <c r="D1544" i="2"/>
  <c r="B1544" i="2"/>
  <c r="A1544" i="2"/>
  <c r="E1508" i="2"/>
  <c r="L1508" i="2" s="1"/>
  <c r="D1508" i="2"/>
  <c r="B1508" i="2"/>
  <c r="A1508" i="2"/>
  <c r="E1485" i="2"/>
  <c r="L1485" i="2" s="1"/>
  <c r="D1485" i="2"/>
  <c r="B1485" i="2"/>
  <c r="A1485" i="2"/>
  <c r="E1039" i="2"/>
  <c r="L1039" i="2" s="1"/>
  <c r="D1039" i="2"/>
  <c r="B1039" i="2"/>
  <c r="A1039" i="2"/>
  <c r="E1038" i="2"/>
  <c r="L1038" i="2" s="1"/>
  <c r="O1038" i="2" s="1"/>
  <c r="D1038" i="2"/>
  <c r="B1038" i="2"/>
  <c r="A1038" i="2"/>
  <c r="E779" i="2"/>
  <c r="L779" i="2" s="1"/>
  <c r="D779" i="2"/>
  <c r="C779" i="2"/>
  <c r="B779" i="2"/>
  <c r="A779" i="2"/>
  <c r="E1262" i="2"/>
  <c r="L1262" i="2" s="1"/>
  <c r="D1262" i="2"/>
  <c r="B1262" i="2"/>
  <c r="A1262" i="2"/>
  <c r="E1628" i="2"/>
  <c r="L1628" i="2" s="1"/>
  <c r="D1628" i="2"/>
  <c r="B1628" i="2"/>
  <c r="A1628" i="2"/>
  <c r="E1585" i="2"/>
  <c r="L1585" i="2" s="1"/>
  <c r="D1585" i="2"/>
  <c r="B1585" i="2"/>
  <c r="A1585" i="2"/>
  <c r="E1037" i="2"/>
  <c r="L1037" i="2" s="1"/>
  <c r="D1037" i="2"/>
  <c r="B1037" i="2"/>
  <c r="A1037" i="2"/>
  <c r="E1627" i="2"/>
  <c r="L1627" i="2" s="1"/>
  <c r="D1627" i="2"/>
  <c r="B1627" i="2"/>
  <c r="A1627" i="2"/>
  <c r="E1162" i="2"/>
  <c r="L1162" i="2" s="1"/>
  <c r="D1162" i="2"/>
  <c r="B1162" i="2"/>
  <c r="A1162" i="2"/>
  <c r="E1161" i="2"/>
  <c r="L1161" i="2" s="1"/>
  <c r="D1161" i="2"/>
  <c r="B1161" i="2"/>
  <c r="A1161" i="2"/>
  <c r="E1261" i="2"/>
  <c r="L1261" i="2" s="1"/>
  <c r="O1261" i="2" s="1"/>
  <c r="D1261" i="2"/>
  <c r="B1261" i="2"/>
  <c r="A1261" i="2"/>
  <c r="E1507" i="2"/>
  <c r="L1507" i="2" s="1"/>
  <c r="D1507" i="2"/>
  <c r="B1507" i="2"/>
  <c r="A1507" i="2"/>
  <c r="E977" i="2"/>
  <c r="L977" i="2" s="1"/>
  <c r="D977" i="2"/>
  <c r="B977" i="2"/>
  <c r="A977" i="2"/>
  <c r="E1036" i="2"/>
  <c r="L1036" i="2" s="1"/>
  <c r="D1036" i="2"/>
  <c r="B1036" i="2"/>
  <c r="A1036" i="2"/>
  <c r="E1260" i="2"/>
  <c r="L1260" i="2" s="1"/>
  <c r="D1260" i="2"/>
  <c r="B1260" i="2"/>
  <c r="A1260" i="2"/>
  <c r="E1214" i="2"/>
  <c r="L1214" i="2" s="1"/>
  <c r="O1214" i="2" s="1"/>
  <c r="D1214" i="2"/>
  <c r="B1214" i="2"/>
  <c r="A1214" i="2"/>
  <c r="E1309" i="2"/>
  <c r="L1309" i="2" s="1"/>
  <c r="O1309" i="2" s="1"/>
  <c r="D1309" i="2"/>
  <c r="B1309" i="2"/>
  <c r="A1309" i="2"/>
  <c r="E1308" i="2"/>
  <c r="L1308" i="2" s="1"/>
  <c r="D1308" i="2"/>
  <c r="B1308" i="2"/>
  <c r="A1308" i="2"/>
  <c r="E1667" i="2"/>
  <c r="L1667" i="2" s="1"/>
  <c r="D1667" i="2"/>
  <c r="B1667" i="2"/>
  <c r="A1667" i="2"/>
  <c r="E1259" i="2"/>
  <c r="L1259" i="2" s="1"/>
  <c r="D1259" i="2"/>
  <c r="B1259" i="2"/>
  <c r="A1259" i="2"/>
  <c r="E1386" i="2"/>
  <c r="L1386" i="2" s="1"/>
  <c r="D1386" i="2"/>
  <c r="B1386" i="2"/>
  <c r="A1386" i="2"/>
  <c r="E1385" i="2"/>
  <c r="L1385" i="2" s="1"/>
  <c r="D1385" i="2"/>
  <c r="B1385" i="2"/>
  <c r="A1385" i="2"/>
  <c r="E1506" i="2"/>
  <c r="L1506" i="2" s="1"/>
  <c r="D1506" i="2"/>
  <c r="B1506" i="2"/>
  <c r="A1506" i="2"/>
  <c r="E1109" i="2"/>
  <c r="L1109" i="2" s="1"/>
  <c r="O1109" i="2" s="1"/>
  <c r="D1109" i="2"/>
  <c r="B1109" i="2"/>
  <c r="A1109" i="2"/>
  <c r="E1258" i="2"/>
  <c r="L1258" i="2" s="1"/>
  <c r="D1258" i="2"/>
  <c r="B1258" i="2"/>
  <c r="A1258" i="2"/>
  <c r="E1257" i="2"/>
  <c r="L1257" i="2" s="1"/>
  <c r="D1257" i="2"/>
  <c r="B1257" i="2"/>
  <c r="A1257" i="2"/>
  <c r="E1384" i="2"/>
  <c r="L1384" i="2" s="1"/>
  <c r="D1384" i="2"/>
  <c r="B1384" i="2"/>
  <c r="A1384" i="2"/>
  <c r="E1383" i="2"/>
  <c r="L1383" i="2" s="1"/>
  <c r="D1383" i="2"/>
  <c r="B1383" i="2"/>
  <c r="A1383" i="2"/>
  <c r="E1484" i="2"/>
  <c r="L1484" i="2" s="1"/>
  <c r="D1484" i="2"/>
  <c r="B1484" i="2"/>
  <c r="A1484" i="2"/>
  <c r="E1584" i="2"/>
  <c r="L1584" i="2" s="1"/>
  <c r="D1584" i="2"/>
  <c r="B1584" i="2"/>
  <c r="A1584" i="2"/>
  <c r="E1426" i="2"/>
  <c r="L1426" i="2" s="1"/>
  <c r="D1426" i="2"/>
  <c r="B1426" i="2"/>
  <c r="A1426" i="2"/>
  <c r="E1213" i="2"/>
  <c r="L1213" i="2" s="1"/>
  <c r="D1213" i="2"/>
  <c r="B1213" i="2"/>
  <c r="A1213" i="2"/>
  <c r="E1483" i="2"/>
  <c r="L1483" i="2" s="1"/>
  <c r="O1483" i="2" s="1"/>
  <c r="D1483" i="2"/>
  <c r="B1483" i="2"/>
  <c r="A1483" i="2"/>
  <c r="E778" i="2"/>
  <c r="L778" i="2" s="1"/>
  <c r="D778" i="2"/>
  <c r="B778" i="2"/>
  <c r="A778" i="2"/>
  <c r="E1482" i="2"/>
  <c r="L1482" i="2" s="1"/>
  <c r="D1482" i="2"/>
  <c r="B1482" i="2"/>
  <c r="A1482" i="2"/>
  <c r="E1343" i="2"/>
  <c r="L1343" i="2" s="1"/>
  <c r="D1343" i="2"/>
  <c r="B1343" i="2"/>
  <c r="A1343" i="2"/>
  <c r="E1108" i="2"/>
  <c r="L1108" i="2" s="1"/>
  <c r="D1108" i="2"/>
  <c r="B1108" i="2"/>
  <c r="A1108" i="2"/>
  <c r="E1717" i="2"/>
  <c r="L1717" i="2" s="1"/>
  <c r="D1717" i="2"/>
  <c r="B1717" i="2"/>
  <c r="A1717" i="2"/>
  <c r="E976" i="2"/>
  <c r="L976" i="2" s="1"/>
  <c r="D976" i="2"/>
  <c r="B976" i="2"/>
  <c r="A976" i="2"/>
  <c r="E1342" i="2"/>
  <c r="L1342" i="2" s="1"/>
  <c r="D1342" i="2"/>
  <c r="B1342" i="2"/>
  <c r="A1342" i="2"/>
  <c r="E1583" i="2"/>
  <c r="L1583" i="2" s="1"/>
  <c r="O1583" i="2" s="1"/>
  <c r="D1583" i="2"/>
  <c r="B1583" i="2"/>
  <c r="A1583" i="2"/>
  <c r="E1256" i="2"/>
  <c r="L1256" i="2" s="1"/>
  <c r="D1256" i="2"/>
  <c r="B1256" i="2"/>
  <c r="A1256" i="2"/>
  <c r="E777" i="2"/>
  <c r="L777" i="2" s="1"/>
  <c r="D777" i="2"/>
  <c r="B777" i="2"/>
  <c r="A777" i="2"/>
  <c r="E1035" i="2"/>
  <c r="L1035" i="2" s="1"/>
  <c r="D1035" i="2"/>
  <c r="B1035" i="2"/>
  <c r="A1035" i="2"/>
  <c r="E1582" i="2"/>
  <c r="L1582" i="2" s="1"/>
  <c r="D1582" i="2"/>
  <c r="B1582" i="2"/>
  <c r="A1582" i="2"/>
  <c r="E776" i="2"/>
  <c r="L776" i="2" s="1"/>
  <c r="D776" i="2"/>
  <c r="B776" i="2"/>
  <c r="A776" i="2"/>
  <c r="E1034" i="2"/>
  <c r="L1034" i="2" s="1"/>
  <c r="D1034" i="2"/>
  <c r="B1034" i="2"/>
  <c r="A1034" i="2"/>
  <c r="E775" i="2"/>
  <c r="L775" i="2" s="1"/>
  <c r="D775" i="2"/>
  <c r="B775" i="2"/>
  <c r="A775" i="2"/>
  <c r="E914" i="2"/>
  <c r="L914" i="2" s="1"/>
  <c r="D914" i="2"/>
  <c r="B914" i="2"/>
  <c r="A914" i="2"/>
  <c r="E913" i="2"/>
  <c r="L913" i="2" s="1"/>
  <c r="D913" i="2"/>
  <c r="B913" i="2"/>
  <c r="A913" i="2"/>
  <c r="E1382" i="2"/>
  <c r="L1382" i="2" s="1"/>
  <c r="O1382" i="2" s="1"/>
  <c r="D1382" i="2"/>
  <c r="B1382" i="2"/>
  <c r="A1382" i="2"/>
  <c r="E1381" i="2"/>
  <c r="L1381" i="2" s="1"/>
  <c r="D1381" i="2"/>
  <c r="B1381" i="2"/>
  <c r="A1381" i="2"/>
  <c r="E975" i="2"/>
  <c r="L975" i="2" s="1"/>
  <c r="D975" i="2"/>
  <c r="B975" i="2"/>
  <c r="A975" i="2"/>
  <c r="E1543" i="2"/>
  <c r="L1543" i="2" s="1"/>
  <c r="D1543" i="2"/>
  <c r="B1543" i="2"/>
  <c r="A1543" i="2"/>
  <c r="E1160" i="2"/>
  <c r="L1160" i="2" s="1"/>
  <c r="O1160" i="2" s="1"/>
  <c r="D1160" i="2"/>
  <c r="B1160" i="2"/>
  <c r="A1160" i="2"/>
  <c r="E974" i="2"/>
  <c r="L974" i="2" s="1"/>
  <c r="D974" i="2"/>
  <c r="B974" i="2"/>
  <c r="A974" i="2"/>
  <c r="E1481" i="2"/>
  <c r="L1481" i="2" s="1"/>
  <c r="D1481" i="2"/>
  <c r="B1481" i="2"/>
  <c r="A1481" i="2"/>
  <c r="E1159" i="2"/>
  <c r="L1159" i="2" s="1"/>
  <c r="D1159" i="2"/>
  <c r="B1159" i="2"/>
  <c r="A1159" i="2"/>
  <c r="E1666" i="2"/>
  <c r="L1666" i="2" s="1"/>
  <c r="D1666" i="2"/>
  <c r="B1666" i="2"/>
  <c r="A1666" i="2"/>
  <c r="E1341" i="2"/>
  <c r="L1341" i="2" s="1"/>
  <c r="O1341" i="2" s="1"/>
  <c r="D1341" i="2"/>
  <c r="B1341" i="2"/>
  <c r="A1341" i="2"/>
  <c r="E1542" i="2"/>
  <c r="L1542" i="2" s="1"/>
  <c r="D1542" i="2"/>
  <c r="B1542" i="2"/>
  <c r="A1542" i="2"/>
  <c r="E852" i="2"/>
  <c r="L852" i="2" s="1"/>
  <c r="D852" i="2"/>
  <c r="B852" i="2"/>
  <c r="A852" i="2"/>
  <c r="E851" i="2"/>
  <c r="L851" i="2" s="1"/>
  <c r="D851" i="2"/>
  <c r="B851" i="2"/>
  <c r="A851" i="2"/>
  <c r="E1581" i="2"/>
  <c r="L1581" i="2" s="1"/>
  <c r="D1581" i="2"/>
  <c r="B1581" i="2"/>
  <c r="A1581" i="2"/>
  <c r="E850" i="2"/>
  <c r="L850" i="2" s="1"/>
  <c r="D850" i="2"/>
  <c r="B850" i="2"/>
  <c r="A850" i="2"/>
  <c r="E593" i="2"/>
  <c r="L593" i="2" s="1"/>
  <c r="D593" i="2"/>
  <c r="B593" i="2"/>
  <c r="A593" i="2"/>
  <c r="E1480" i="2"/>
  <c r="L1480" i="2" s="1"/>
  <c r="D1480" i="2"/>
  <c r="B1480" i="2"/>
  <c r="A1480" i="2"/>
  <c r="E1580" i="2"/>
  <c r="L1580" i="2" s="1"/>
  <c r="D1580" i="2"/>
  <c r="B1580" i="2"/>
  <c r="A1580" i="2"/>
  <c r="E1579" i="2"/>
  <c r="L1579" i="2" s="1"/>
  <c r="D1579" i="2"/>
  <c r="B1579" i="2"/>
  <c r="A1579" i="2"/>
  <c r="E1541" i="2"/>
  <c r="L1541" i="2" s="1"/>
  <c r="D1541" i="2"/>
  <c r="B1541" i="2"/>
  <c r="A1541" i="2"/>
  <c r="E1033" i="2"/>
  <c r="L1033" i="2" s="1"/>
  <c r="D1033" i="2"/>
  <c r="B1033" i="2"/>
  <c r="A1033" i="2"/>
  <c r="E973" i="2"/>
  <c r="L973" i="2" s="1"/>
  <c r="D973" i="2"/>
  <c r="B973" i="2"/>
  <c r="A973" i="2"/>
  <c r="E1420" i="2"/>
  <c r="L1420" i="2" s="1"/>
  <c r="D1420" i="2"/>
  <c r="B1420" i="2"/>
  <c r="A1420" i="2"/>
  <c r="E550" i="2"/>
  <c r="L550" i="2" s="1"/>
  <c r="D550" i="2"/>
  <c r="B550" i="2"/>
  <c r="A550" i="2"/>
  <c r="E592" i="2"/>
  <c r="L592" i="2" s="1"/>
  <c r="D592" i="2"/>
  <c r="B592" i="2"/>
  <c r="A592" i="2"/>
  <c r="E656" i="2"/>
  <c r="L656" i="2" s="1"/>
  <c r="D656" i="2"/>
  <c r="B656" i="2"/>
  <c r="A656" i="2"/>
  <c r="E1032" i="2"/>
  <c r="L1032" i="2" s="1"/>
  <c r="D1032" i="2"/>
  <c r="B1032" i="2"/>
  <c r="A1032" i="2"/>
  <c r="E862" i="2"/>
  <c r="L862" i="2" s="1"/>
  <c r="D862" i="2"/>
  <c r="B862" i="2"/>
  <c r="A862" i="2"/>
  <c r="E849" i="2"/>
  <c r="L849" i="2" s="1"/>
  <c r="D849" i="2"/>
  <c r="B849" i="2"/>
  <c r="A849" i="2"/>
  <c r="E1505" i="2"/>
  <c r="L1505" i="2" s="1"/>
  <c r="O1505" i="2" s="1"/>
  <c r="D1505" i="2"/>
  <c r="B1505" i="2"/>
  <c r="A1505" i="2"/>
  <c r="E1707" i="2"/>
  <c r="L1707" i="2" s="1"/>
  <c r="D1707" i="2"/>
  <c r="B1707" i="2"/>
  <c r="A1707" i="2"/>
  <c r="E1515" i="2"/>
  <c r="L1515" i="2" s="1"/>
  <c r="D1515" i="2"/>
  <c r="B1515" i="2"/>
  <c r="A1515" i="2"/>
  <c r="E1255" i="2"/>
  <c r="L1255" i="2" s="1"/>
  <c r="D1255" i="2"/>
  <c r="B1255" i="2"/>
  <c r="A1255" i="2"/>
  <c r="E1031" i="2"/>
  <c r="L1031" i="2" s="1"/>
  <c r="D1031" i="2"/>
  <c r="B1031" i="2"/>
  <c r="A1031" i="2"/>
  <c r="E1212" i="2"/>
  <c r="L1212" i="2" s="1"/>
  <c r="D1212" i="2"/>
  <c r="B1212" i="2"/>
  <c r="A1212" i="2"/>
  <c r="E1211" i="2"/>
  <c r="L1211" i="2" s="1"/>
  <c r="D1211" i="2"/>
  <c r="B1211" i="2"/>
  <c r="A1211" i="2"/>
  <c r="E1210" i="2"/>
  <c r="L1210" i="2" s="1"/>
  <c r="D1210" i="2"/>
  <c r="B1210" i="2"/>
  <c r="A1210" i="2"/>
  <c r="E1479" i="2"/>
  <c r="L1479" i="2" s="1"/>
  <c r="D1479" i="2"/>
  <c r="B1479" i="2"/>
  <c r="A1479" i="2"/>
  <c r="E912" i="2"/>
  <c r="L912" i="2" s="1"/>
  <c r="D912" i="2"/>
  <c r="B912" i="2"/>
  <c r="A912" i="2"/>
  <c r="E1254" i="2"/>
  <c r="L1254" i="2" s="1"/>
  <c r="D1254" i="2"/>
  <c r="B1254" i="2"/>
  <c r="A1254" i="2"/>
  <c r="E655" i="2"/>
  <c r="L655" i="2" s="1"/>
  <c r="D655" i="2"/>
  <c r="B655" i="2"/>
  <c r="A655" i="2"/>
  <c r="E591" i="2"/>
  <c r="L591" i="2" s="1"/>
  <c r="D591" i="2"/>
  <c r="B591" i="2"/>
  <c r="A591" i="2"/>
  <c r="E549" i="2"/>
  <c r="L549" i="2" s="1"/>
  <c r="D549" i="2"/>
  <c r="B549" i="2"/>
  <c r="A549" i="2"/>
  <c r="E1380" i="2"/>
  <c r="L1380" i="2" s="1"/>
  <c r="D1380" i="2"/>
  <c r="B1380" i="2"/>
  <c r="A1380" i="2"/>
  <c r="E1478" i="2"/>
  <c r="L1478" i="2" s="1"/>
  <c r="D1478" i="2"/>
  <c r="B1478" i="2"/>
  <c r="A1478" i="2"/>
  <c r="E1626" i="2"/>
  <c r="L1626" i="2" s="1"/>
  <c r="D1626" i="2"/>
  <c r="B1626" i="2"/>
  <c r="A1626" i="2"/>
  <c r="E1477" i="2"/>
  <c r="L1477" i="2" s="1"/>
  <c r="D1477" i="2"/>
  <c r="B1477" i="2"/>
  <c r="A1477" i="2"/>
  <c r="E1307" i="2"/>
  <c r="L1307" i="2" s="1"/>
  <c r="D1307" i="2"/>
  <c r="B1307" i="2"/>
  <c r="A1307" i="2"/>
  <c r="E654" i="2"/>
  <c r="L654" i="2" s="1"/>
  <c r="O654" i="2" s="1"/>
  <c r="D654" i="2"/>
  <c r="B654" i="2"/>
  <c r="A654" i="2"/>
  <c r="E548" i="2"/>
  <c r="L548" i="2" s="1"/>
  <c r="D548" i="2"/>
  <c r="B548" i="2"/>
  <c r="A548" i="2"/>
  <c r="E848" i="2"/>
  <c r="L848" i="2" s="1"/>
  <c r="D848" i="2"/>
  <c r="B848" i="2"/>
  <c r="A848" i="2"/>
  <c r="E1274" i="2"/>
  <c r="L1274" i="2" s="1"/>
  <c r="D1274" i="2"/>
  <c r="B1274" i="2"/>
  <c r="A1274" i="2"/>
  <c r="E911" i="2"/>
  <c r="L911" i="2" s="1"/>
  <c r="D911" i="2"/>
  <c r="B911" i="2"/>
  <c r="A911" i="2"/>
  <c r="E972" i="2"/>
  <c r="L972" i="2" s="1"/>
  <c r="O972" i="2" s="1"/>
  <c r="D972" i="2"/>
  <c r="B972" i="2"/>
  <c r="A972" i="2"/>
  <c r="E547" i="2"/>
  <c r="L547" i="2" s="1"/>
  <c r="D547" i="2"/>
  <c r="B547" i="2"/>
  <c r="A547" i="2"/>
  <c r="E1738" i="2"/>
  <c r="D1738" i="2"/>
  <c r="C1738" i="2"/>
  <c r="B1738" i="2"/>
  <c r="A1738" i="2"/>
  <c r="E1716" i="2"/>
  <c r="L1716" i="2" s="1"/>
  <c r="D1716" i="2"/>
  <c r="B1716" i="2"/>
  <c r="A1716" i="2"/>
  <c r="E724" i="2"/>
  <c r="L724" i="2" s="1"/>
  <c r="O724" i="2" s="1"/>
  <c r="D724" i="2"/>
  <c r="B724" i="2"/>
  <c r="A724" i="2"/>
  <c r="E1340" i="2"/>
  <c r="L1340" i="2" s="1"/>
  <c r="D1340" i="2"/>
  <c r="B1340" i="2"/>
  <c r="A1340" i="2"/>
  <c r="E1339" i="2"/>
  <c r="L1339" i="2" s="1"/>
  <c r="D1339" i="2"/>
  <c r="B1339" i="2"/>
  <c r="A1339" i="2"/>
  <c r="E546" i="2"/>
  <c r="L546" i="2" s="1"/>
  <c r="D546" i="2"/>
  <c r="B546" i="2"/>
  <c r="A546" i="2"/>
  <c r="E971" i="2"/>
  <c r="L971" i="2" s="1"/>
  <c r="D971" i="2"/>
  <c r="B971" i="2"/>
  <c r="A971" i="2"/>
  <c r="E970" i="2"/>
  <c r="L970" i="2" s="1"/>
  <c r="D970" i="2"/>
  <c r="B970" i="2"/>
  <c r="A970" i="2"/>
  <c r="E1708" i="2"/>
  <c r="D1708" i="2"/>
  <c r="C1708" i="2"/>
  <c r="B1708" i="2"/>
  <c r="A1708" i="2"/>
  <c r="E1253" i="2"/>
  <c r="L1253" i="2" s="1"/>
  <c r="D1253" i="2"/>
  <c r="B1253" i="2"/>
  <c r="A1253" i="2"/>
  <c r="E1653" i="2"/>
  <c r="L1653" i="2" s="1"/>
  <c r="O1653" i="2" s="1"/>
  <c r="D1653" i="2"/>
  <c r="B1653" i="2"/>
  <c r="A1653" i="2"/>
  <c r="E1540" i="2"/>
  <c r="L1540" i="2" s="1"/>
  <c r="O1540" i="2" s="1"/>
  <c r="D1540" i="2"/>
  <c r="B1540" i="2"/>
  <c r="A1540" i="2"/>
  <c r="E545" i="2"/>
  <c r="L545" i="2" s="1"/>
  <c r="D545" i="2"/>
  <c r="B545" i="2"/>
  <c r="A545" i="2"/>
  <c r="E847" i="2"/>
  <c r="L847" i="2" s="1"/>
  <c r="D847" i="2"/>
  <c r="B847" i="2"/>
  <c r="A847" i="2"/>
  <c r="E1578" i="2"/>
  <c r="L1578" i="2" s="1"/>
  <c r="D1578" i="2"/>
  <c r="B1578" i="2"/>
  <c r="A1578" i="2"/>
  <c r="E1158" i="2"/>
  <c r="L1158" i="2" s="1"/>
  <c r="O1158" i="2" s="1"/>
  <c r="D1158" i="2"/>
  <c r="B1158" i="2"/>
  <c r="A1158" i="2"/>
  <c r="E1670" i="2"/>
  <c r="D1670" i="2"/>
  <c r="C1670" i="2"/>
  <c r="B1670" i="2"/>
  <c r="A1670" i="2"/>
  <c r="E1157" i="2"/>
  <c r="L1157" i="2" s="1"/>
  <c r="D1157" i="2"/>
  <c r="B1157" i="2"/>
  <c r="A1157" i="2"/>
  <c r="E1504" i="2"/>
  <c r="L1504" i="2" s="1"/>
  <c r="O1504" i="2" s="1"/>
  <c r="D1504" i="2"/>
  <c r="B1504" i="2"/>
  <c r="A1504" i="2"/>
  <c r="E774" i="2"/>
  <c r="L774" i="2" s="1"/>
  <c r="O774" i="2" s="1"/>
  <c r="D774" i="2"/>
  <c r="B774" i="2"/>
  <c r="A774" i="2"/>
  <c r="E590" i="2"/>
  <c r="L590" i="2" s="1"/>
  <c r="D590" i="2"/>
  <c r="B590" i="2"/>
  <c r="A590" i="2"/>
  <c r="E846" i="2"/>
  <c r="L846" i="2" s="1"/>
  <c r="O846" i="2" s="1"/>
  <c r="D846" i="2"/>
  <c r="B846" i="2"/>
  <c r="A846" i="2"/>
  <c r="E497" i="2"/>
  <c r="L497" i="2" s="1"/>
  <c r="D497" i="2"/>
  <c r="C497" i="2"/>
  <c r="B497" i="2"/>
  <c r="A497" i="2"/>
  <c r="E653" i="2"/>
  <c r="L653" i="2" s="1"/>
  <c r="D653" i="2"/>
  <c r="B653" i="2"/>
  <c r="A653" i="2"/>
  <c r="E1030" i="2"/>
  <c r="L1030" i="2" s="1"/>
  <c r="O1030" i="2" s="1"/>
  <c r="D1030" i="2"/>
  <c r="B1030" i="2"/>
  <c r="A1030" i="2"/>
  <c r="E1539" i="2"/>
  <c r="L1539" i="2" s="1"/>
  <c r="D1539" i="2"/>
  <c r="B1539" i="2"/>
  <c r="A1539" i="2"/>
  <c r="E845" i="2"/>
  <c r="L845" i="2" s="1"/>
  <c r="D845" i="2"/>
  <c r="B845" i="2"/>
  <c r="A845" i="2"/>
  <c r="E1651" i="2"/>
  <c r="L1651" i="2" s="1"/>
  <c r="D1651" i="2"/>
  <c r="B1651" i="2"/>
  <c r="A1651" i="2"/>
  <c r="E1641" i="2"/>
  <c r="D1641" i="2"/>
  <c r="C1641" i="2"/>
  <c r="B1641" i="2"/>
  <c r="A1641" i="2"/>
  <c r="E1252" i="2"/>
  <c r="L1252" i="2" s="1"/>
  <c r="O1252" i="2" s="1"/>
  <c r="D1252" i="2"/>
  <c r="B1252" i="2"/>
  <c r="A1252" i="2"/>
  <c r="E1107" i="2"/>
  <c r="L1107" i="2" s="1"/>
  <c r="D1107" i="2"/>
  <c r="B1107" i="2"/>
  <c r="A1107" i="2"/>
  <c r="E1538" i="2"/>
  <c r="L1538" i="2" s="1"/>
  <c r="D1538" i="2"/>
  <c r="B1538" i="2"/>
  <c r="A1538" i="2"/>
  <c r="E910" i="2"/>
  <c r="L910" i="2" s="1"/>
  <c r="D910" i="2"/>
  <c r="B910" i="2"/>
  <c r="A910" i="2"/>
  <c r="E652" i="2"/>
  <c r="L652" i="2" s="1"/>
  <c r="D652" i="2"/>
  <c r="B652" i="2"/>
  <c r="A652" i="2"/>
  <c r="E969" i="2"/>
  <c r="L969" i="2" s="1"/>
  <c r="O969" i="2" s="1"/>
  <c r="D969" i="2"/>
  <c r="B969" i="2"/>
  <c r="A969" i="2"/>
  <c r="E1209" i="2"/>
  <c r="L1209" i="2" s="1"/>
  <c r="O1209" i="2" s="1"/>
  <c r="D1209" i="2"/>
  <c r="B1209" i="2"/>
  <c r="A1209" i="2"/>
  <c r="E1125" i="2"/>
  <c r="L1125" i="2" s="1"/>
  <c r="D1125" i="2"/>
  <c r="B1125" i="2"/>
  <c r="A1125" i="2"/>
  <c r="E1251" i="2"/>
  <c r="L1251" i="2" s="1"/>
  <c r="D1251" i="2"/>
  <c r="B1251" i="2"/>
  <c r="A1251" i="2"/>
  <c r="E1156" i="2"/>
  <c r="L1156" i="2" s="1"/>
  <c r="D1156" i="2"/>
  <c r="B1156" i="2"/>
  <c r="A1156" i="2"/>
  <c r="E844" i="2"/>
  <c r="L844" i="2" s="1"/>
  <c r="D844" i="2"/>
  <c r="B844" i="2"/>
  <c r="A844" i="2"/>
  <c r="E987" i="2"/>
  <c r="D987" i="2"/>
  <c r="B987" i="2"/>
  <c r="A987" i="2"/>
  <c r="E1625" i="2"/>
  <c r="L1625" i="2" s="1"/>
  <c r="D1625" i="2"/>
  <c r="C1625" i="2"/>
  <c r="B1625" i="2"/>
  <c r="A1625" i="2"/>
  <c r="E389" i="2"/>
  <c r="L389" i="2" s="1"/>
  <c r="D389" i="2"/>
  <c r="B389" i="2"/>
  <c r="A389" i="2"/>
  <c r="E1106" i="2"/>
  <c r="L1106" i="2" s="1"/>
  <c r="D1106" i="2"/>
  <c r="B1106" i="2"/>
  <c r="A1106" i="2"/>
  <c r="E589" i="2"/>
  <c r="L589" i="2" s="1"/>
  <c r="D589" i="2"/>
  <c r="B589" i="2"/>
  <c r="A589" i="2"/>
  <c r="E544" i="2"/>
  <c r="L544" i="2" s="1"/>
  <c r="D544" i="2"/>
  <c r="B544" i="2"/>
  <c r="A544" i="2"/>
  <c r="E843" i="2"/>
  <c r="L843" i="2" s="1"/>
  <c r="D843" i="2"/>
  <c r="B843" i="2"/>
  <c r="A843" i="2"/>
  <c r="E1155" i="2"/>
  <c r="L1155" i="2" s="1"/>
  <c r="D1155" i="2"/>
  <c r="B1155" i="2"/>
  <c r="A1155" i="2"/>
  <c r="E623" i="2"/>
  <c r="L623" i="2" s="1"/>
  <c r="D623" i="2"/>
  <c r="B623" i="2"/>
  <c r="A623" i="2"/>
  <c r="E723" i="2"/>
  <c r="L723" i="2" s="1"/>
  <c r="D723" i="2"/>
  <c r="B723" i="2"/>
  <c r="A723" i="2"/>
  <c r="E1379" i="2"/>
  <c r="L1379" i="2" s="1"/>
  <c r="D1379" i="2"/>
  <c r="C1379" i="2"/>
  <c r="B1379" i="2"/>
  <c r="A1379" i="2"/>
  <c r="E861" i="2"/>
  <c r="L861" i="2" s="1"/>
  <c r="D861" i="2"/>
  <c r="B861" i="2"/>
  <c r="A861" i="2"/>
  <c r="E1250" i="2"/>
  <c r="L1250" i="2" s="1"/>
  <c r="D1250" i="2"/>
  <c r="B1250" i="2"/>
  <c r="A1250" i="2"/>
  <c r="E842" i="2"/>
  <c r="L842" i="2" s="1"/>
  <c r="D842" i="2"/>
  <c r="B842" i="2"/>
  <c r="A842" i="2"/>
  <c r="E1704" i="2"/>
  <c r="L1704" i="2" s="1"/>
  <c r="D1704" i="2"/>
  <c r="C1704" i="2"/>
  <c r="B1704" i="2"/>
  <c r="A1704" i="2"/>
  <c r="E1419" i="2"/>
  <c r="L1419" i="2" s="1"/>
  <c r="D1419" i="2"/>
  <c r="B1419" i="2"/>
  <c r="A1419" i="2"/>
  <c r="E1154" i="2"/>
  <c r="L1154" i="2" s="1"/>
  <c r="D1154" i="2"/>
  <c r="B1154" i="2"/>
  <c r="A1154" i="2"/>
  <c r="E1681" i="2"/>
  <c r="L1681" i="2" s="1"/>
  <c r="D1681" i="2"/>
  <c r="B1681" i="2"/>
  <c r="A1681" i="2"/>
  <c r="E968" i="2"/>
  <c r="L968" i="2" s="1"/>
  <c r="O968" i="2" s="1"/>
  <c r="D968" i="2"/>
  <c r="B968" i="2"/>
  <c r="A968" i="2"/>
  <c r="E841" i="2"/>
  <c r="L841" i="2" s="1"/>
  <c r="D841" i="2"/>
  <c r="B841" i="2"/>
  <c r="A841" i="2"/>
  <c r="E204" i="2"/>
  <c r="D204" i="2"/>
  <c r="B204" i="2"/>
  <c r="A204" i="2"/>
  <c r="E1105" i="2"/>
  <c r="L1105" i="2" s="1"/>
  <c r="D1105" i="2"/>
  <c r="B1105" i="2"/>
  <c r="A1105" i="2"/>
  <c r="E840" i="2"/>
  <c r="L840" i="2" s="1"/>
  <c r="D840" i="2"/>
  <c r="B840" i="2"/>
  <c r="A840" i="2"/>
  <c r="E1537" i="2"/>
  <c r="L1537" i="2" s="1"/>
  <c r="D1537" i="2"/>
  <c r="B1537" i="2"/>
  <c r="A1537" i="2"/>
  <c r="E1703" i="2"/>
  <c r="L1703" i="2" s="1"/>
  <c r="D1703" i="2"/>
  <c r="C1703" i="2"/>
  <c r="B1703" i="2"/>
  <c r="A1703" i="2"/>
  <c r="E1680" i="2"/>
  <c r="L1680" i="2" s="1"/>
  <c r="D1680" i="2"/>
  <c r="B1680" i="2"/>
  <c r="A1680" i="2"/>
  <c r="E1702" i="2"/>
  <c r="L1702" i="2" s="1"/>
  <c r="D1702" i="2"/>
  <c r="C1702" i="2"/>
  <c r="B1702" i="2"/>
  <c r="A1702" i="2"/>
  <c r="E1444" i="2"/>
  <c r="L1444" i="2" s="1"/>
  <c r="D1444" i="2"/>
  <c r="B1444" i="2"/>
  <c r="A1444" i="2"/>
  <c r="E1763" i="2"/>
  <c r="L1763" i="2" s="1"/>
  <c r="O1763" i="2" s="1"/>
  <c r="D1763" i="2"/>
  <c r="B1763" i="2"/>
  <c r="A1763" i="2"/>
  <c r="E1557" i="2"/>
  <c r="D1557" i="2"/>
  <c r="C1557" i="2"/>
  <c r="B1557" i="2"/>
  <c r="A1557" i="2"/>
  <c r="E518" i="2"/>
  <c r="D518" i="2"/>
  <c r="C518" i="2"/>
  <c r="B518" i="2"/>
  <c r="A518" i="2"/>
  <c r="E1561" i="2"/>
  <c r="D1561" i="2"/>
  <c r="B1561" i="2"/>
  <c r="A1561" i="2"/>
  <c r="E1111" i="2"/>
  <c r="L1111" i="2" s="1"/>
  <c r="D1111" i="2"/>
  <c r="B1111" i="2"/>
  <c r="A1111" i="2"/>
  <c r="E496" i="2"/>
  <c r="L496" i="2" s="1"/>
  <c r="D496" i="2"/>
  <c r="B496" i="2"/>
  <c r="A496" i="2"/>
  <c r="E421" i="2"/>
  <c r="L421" i="2" s="1"/>
  <c r="O421" i="2" s="1"/>
  <c r="D421" i="2"/>
  <c r="B421" i="2"/>
  <c r="A421" i="2"/>
  <c r="E651" i="2"/>
  <c r="L651" i="2" s="1"/>
  <c r="D651" i="2"/>
  <c r="B651" i="2"/>
  <c r="A651" i="2"/>
  <c r="E1577" i="2"/>
  <c r="L1577" i="2" s="1"/>
  <c r="O1577" i="2" s="1"/>
  <c r="D1577" i="2"/>
  <c r="B1577" i="2"/>
  <c r="A1577" i="2"/>
  <c r="E1208" i="2"/>
  <c r="L1208" i="2" s="1"/>
  <c r="D1208" i="2"/>
  <c r="B1208" i="2"/>
  <c r="A1208" i="2"/>
  <c r="E860" i="2"/>
  <c r="L860" i="2" s="1"/>
  <c r="D860" i="2"/>
  <c r="C860" i="2"/>
  <c r="B860" i="2"/>
  <c r="A860" i="2"/>
  <c r="E650" i="2"/>
  <c r="L650" i="2" s="1"/>
  <c r="D650" i="2"/>
  <c r="B650" i="2"/>
  <c r="A650" i="2"/>
  <c r="E388" i="2"/>
  <c r="L388" i="2" s="1"/>
  <c r="D388" i="2"/>
  <c r="B388" i="2"/>
  <c r="A388" i="2"/>
  <c r="E773" i="2"/>
  <c r="L773" i="2" s="1"/>
  <c r="D773" i="2"/>
  <c r="B773" i="2"/>
  <c r="A773" i="2"/>
  <c r="E722" i="2"/>
  <c r="L722" i="2" s="1"/>
  <c r="D722" i="2"/>
  <c r="B722" i="2"/>
  <c r="A722" i="2"/>
  <c r="E1752" i="2"/>
  <c r="L1752" i="2" s="1"/>
  <c r="D1752" i="2"/>
  <c r="B1752" i="2"/>
  <c r="A1752" i="2"/>
  <c r="E733" i="2"/>
  <c r="L733" i="2" s="1"/>
  <c r="D733" i="2"/>
  <c r="B733" i="2"/>
  <c r="A733" i="2"/>
  <c r="E839" i="2"/>
  <c r="L839" i="2" s="1"/>
  <c r="D839" i="2"/>
  <c r="B839" i="2"/>
  <c r="A839" i="2"/>
  <c r="E1029" i="2"/>
  <c r="L1029" i="2" s="1"/>
  <c r="D1029" i="2"/>
  <c r="B1029" i="2"/>
  <c r="A1029" i="2"/>
  <c r="E1273" i="2"/>
  <c r="L1273" i="2" s="1"/>
  <c r="D1273" i="2"/>
  <c r="B1273" i="2"/>
  <c r="A1273" i="2"/>
  <c r="E1306" i="2"/>
  <c r="L1306" i="2" s="1"/>
  <c r="D1306" i="2"/>
  <c r="B1306" i="2"/>
  <c r="A1306" i="2"/>
  <c r="E1762" i="2"/>
  <c r="L1762" i="2" s="1"/>
  <c r="D1762" i="2"/>
  <c r="B1762" i="2"/>
  <c r="A1762" i="2"/>
  <c r="E1338" i="2"/>
  <c r="L1338" i="2" s="1"/>
  <c r="O1338" i="2" s="1"/>
  <c r="D1338" i="2"/>
  <c r="B1338" i="2"/>
  <c r="A1338" i="2"/>
  <c r="E1640" i="2"/>
  <c r="D1640" i="2"/>
  <c r="B1640" i="2"/>
  <c r="A1640" i="2"/>
  <c r="E838" i="2"/>
  <c r="L838" i="2" s="1"/>
  <c r="D838" i="2"/>
  <c r="B838" i="2"/>
  <c r="A838" i="2"/>
  <c r="E1378" i="2"/>
  <c r="L1378" i="2" s="1"/>
  <c r="D1378" i="2"/>
  <c r="B1378" i="2"/>
  <c r="A1378" i="2"/>
  <c r="E1624" i="2"/>
  <c r="L1624" i="2" s="1"/>
  <c r="O1624" i="2" s="1"/>
  <c r="D1624" i="2"/>
  <c r="C1624" i="2"/>
  <c r="B1624" i="2"/>
  <c r="A1624" i="2"/>
  <c r="E1443" i="2"/>
  <c r="L1443" i="2" s="1"/>
  <c r="D1443" i="2"/>
  <c r="B1443" i="2"/>
  <c r="A1443" i="2"/>
  <c r="E837" i="2"/>
  <c r="L837" i="2" s="1"/>
  <c r="O837" i="2" s="1"/>
  <c r="D837" i="2"/>
  <c r="B837" i="2"/>
  <c r="A837" i="2"/>
  <c r="E464" i="2"/>
  <c r="D464" i="2"/>
  <c r="B464" i="2"/>
  <c r="A464" i="2"/>
  <c r="E609" i="2"/>
  <c r="D609" i="2"/>
  <c r="B609" i="2"/>
  <c r="A609" i="2"/>
  <c r="E1639" i="2"/>
  <c r="D1639" i="2"/>
  <c r="B1639" i="2"/>
  <c r="A1639" i="2"/>
  <c r="E1359" i="2"/>
  <c r="D1359" i="2"/>
  <c r="B1359" i="2"/>
  <c r="A1359" i="2"/>
  <c r="E1491" i="2"/>
  <c r="L1491" i="2" s="1"/>
  <c r="D1491" i="2"/>
  <c r="B1491" i="2"/>
  <c r="A1491" i="2"/>
  <c r="E649" i="2"/>
  <c r="L649" i="2" s="1"/>
  <c r="D649" i="2"/>
  <c r="B649" i="2"/>
  <c r="A649" i="2"/>
  <c r="E1623" i="2"/>
  <c r="L1623" i="2" s="1"/>
  <c r="D1623" i="2"/>
  <c r="C1623" i="2"/>
  <c r="B1623" i="2"/>
  <c r="A1623" i="2"/>
  <c r="E942" i="2"/>
  <c r="D942" i="2"/>
  <c r="B942" i="2"/>
  <c r="A942" i="2"/>
  <c r="E33" i="2"/>
  <c r="D33" i="2"/>
  <c r="B33" i="2"/>
  <c r="A33" i="2"/>
  <c r="E1377" i="2"/>
  <c r="L1377" i="2" s="1"/>
  <c r="D1377" i="2"/>
  <c r="B1377" i="2"/>
  <c r="A1377" i="2"/>
  <c r="E149" i="2"/>
  <c r="L149" i="2" s="1"/>
  <c r="O149" i="2" s="1"/>
  <c r="D149" i="2"/>
  <c r="C149" i="2"/>
  <c r="B149" i="2"/>
  <c r="A149" i="2"/>
  <c r="E1761" i="2"/>
  <c r="L1761" i="2" s="1"/>
  <c r="D1761" i="2"/>
  <c r="B1761" i="2"/>
  <c r="A1761" i="2"/>
  <c r="E836" i="2"/>
  <c r="L836" i="2" s="1"/>
  <c r="D836" i="2"/>
  <c r="B836" i="2"/>
  <c r="A836" i="2"/>
  <c r="E694" i="2"/>
  <c r="D694" i="2"/>
  <c r="C694" i="2"/>
  <c r="B694" i="2"/>
  <c r="A694" i="2"/>
  <c r="E1753" i="2"/>
  <c r="L1753" i="2" s="1"/>
  <c r="D1753" i="2"/>
  <c r="B1753" i="2"/>
  <c r="A1753" i="2"/>
  <c r="E1124" i="2"/>
  <c r="L1124" i="2" s="1"/>
  <c r="D1124" i="2"/>
  <c r="B1124" i="2"/>
  <c r="A1124" i="2"/>
  <c r="E1207" i="2"/>
  <c r="L1207" i="2" s="1"/>
  <c r="D1207" i="2"/>
  <c r="C1207" i="2"/>
  <c r="B1207" i="2"/>
  <c r="A1207" i="2"/>
  <c r="E1376" i="2"/>
  <c r="L1376" i="2" s="1"/>
  <c r="O1376" i="2" s="1"/>
  <c r="D1376" i="2"/>
  <c r="B1376" i="2"/>
  <c r="A1376" i="2"/>
  <c r="E1375" i="2"/>
  <c r="L1375" i="2" s="1"/>
  <c r="D1375" i="2"/>
  <c r="B1375" i="2"/>
  <c r="A1375" i="2"/>
  <c r="E796" i="2"/>
  <c r="L796" i="2" s="1"/>
  <c r="D796" i="2"/>
  <c r="B796" i="2"/>
  <c r="A796" i="2"/>
  <c r="E563" i="2"/>
  <c r="L563" i="2" s="1"/>
  <c r="D563" i="2"/>
  <c r="C563" i="2"/>
  <c r="B563" i="2"/>
  <c r="A563" i="2"/>
  <c r="E622" i="2"/>
  <c r="L622" i="2" s="1"/>
  <c r="D622" i="2"/>
  <c r="B622" i="2"/>
  <c r="A622" i="2"/>
  <c r="E1206" i="2"/>
  <c r="L1206" i="2" s="1"/>
  <c r="D1206" i="2"/>
  <c r="B1206" i="2"/>
  <c r="A1206" i="2"/>
  <c r="E737" i="2"/>
  <c r="L737" i="2" s="1"/>
  <c r="O737" i="2" s="1"/>
  <c r="D737" i="2"/>
  <c r="C737" i="2"/>
  <c r="B737" i="2"/>
  <c r="A737" i="2"/>
  <c r="E790" i="2"/>
  <c r="D790" i="2"/>
  <c r="C790" i="2"/>
  <c r="B790" i="2"/>
  <c r="A790" i="2"/>
  <c r="E1760" i="2"/>
  <c r="L1760" i="2" s="1"/>
  <c r="O1760" i="2" s="1"/>
  <c r="D1760" i="2"/>
  <c r="B1760" i="2"/>
  <c r="A1760" i="2"/>
  <c r="E1503" i="2"/>
  <c r="D1503" i="2"/>
  <c r="C1503" i="2"/>
  <c r="B1503" i="2"/>
  <c r="A1503" i="2"/>
  <c r="E795" i="2"/>
  <c r="L795" i="2" s="1"/>
  <c r="D795" i="2"/>
  <c r="B795" i="2"/>
  <c r="A795" i="2"/>
  <c r="E1699" i="2"/>
  <c r="L1699" i="2" s="1"/>
  <c r="D1699" i="2"/>
  <c r="B1699" i="2"/>
  <c r="A1699" i="2"/>
  <c r="E884" i="2"/>
  <c r="D884" i="2"/>
  <c r="C884" i="2"/>
  <c r="B884" i="2"/>
  <c r="A884" i="2"/>
  <c r="E807" i="2"/>
  <c r="L807" i="2" s="1"/>
  <c r="D807" i="2"/>
  <c r="C807" i="2"/>
  <c r="B807" i="2"/>
  <c r="A807" i="2"/>
  <c r="E1153" i="2"/>
  <c r="L1153" i="2" s="1"/>
  <c r="D1153" i="2"/>
  <c r="B1153" i="2"/>
  <c r="A1153" i="2"/>
  <c r="E1104" i="2"/>
  <c r="L1104" i="2" s="1"/>
  <c r="D1104" i="2"/>
  <c r="B1104" i="2"/>
  <c r="A1104" i="2"/>
  <c r="E495" i="2"/>
  <c r="L495" i="2" s="1"/>
  <c r="O495" i="2" s="1"/>
  <c r="D495" i="2"/>
  <c r="C495" i="2"/>
  <c r="B495" i="2"/>
  <c r="A495" i="2"/>
  <c r="E1028" i="2"/>
  <c r="L1028" i="2" s="1"/>
  <c r="D1028" i="2"/>
  <c r="C1028" i="2"/>
  <c r="B1028" i="2"/>
  <c r="A1028" i="2"/>
  <c r="E859" i="2"/>
  <c r="L859" i="2" s="1"/>
  <c r="D859" i="2"/>
  <c r="B859" i="2"/>
  <c r="A859" i="2"/>
  <c r="E1422" i="2"/>
  <c r="D1422" i="2"/>
  <c r="B1422" i="2"/>
  <c r="A1422" i="2"/>
  <c r="E648" i="2"/>
  <c r="L648" i="2" s="1"/>
  <c r="D648" i="2"/>
  <c r="C648" i="2"/>
  <c r="B648" i="2"/>
  <c r="A648" i="2"/>
  <c r="E1638" i="2"/>
  <c r="D1638" i="2"/>
  <c r="B1638" i="2"/>
  <c r="A1638" i="2"/>
  <c r="E732" i="2"/>
  <c r="L732" i="2" s="1"/>
  <c r="D732" i="2"/>
  <c r="B732" i="2"/>
  <c r="A732" i="2"/>
  <c r="E1249" i="2"/>
  <c r="L1249" i="2" s="1"/>
  <c r="D1249" i="2"/>
  <c r="C1249" i="2"/>
  <c r="B1249" i="2"/>
  <c r="A1249" i="2"/>
  <c r="E673" i="2"/>
  <c r="L673" i="2" s="1"/>
  <c r="D673" i="2"/>
  <c r="B673" i="2"/>
  <c r="A673" i="2"/>
  <c r="E238" i="2"/>
  <c r="D238" i="2"/>
  <c r="C238" i="2"/>
  <c r="B238" i="2"/>
  <c r="A238" i="2"/>
  <c r="E789" i="2"/>
  <c r="D789" i="2"/>
  <c r="C789" i="2"/>
  <c r="B789" i="2"/>
  <c r="A789" i="2"/>
  <c r="E1103" i="2"/>
  <c r="L1103" i="2" s="1"/>
  <c r="D1103" i="2"/>
  <c r="C1103" i="2"/>
  <c r="B1103" i="2"/>
  <c r="A1103" i="2"/>
  <c r="E588" i="2"/>
  <c r="L588" i="2" s="1"/>
  <c r="D588" i="2"/>
  <c r="C588" i="2"/>
  <c r="B588" i="2"/>
  <c r="A588" i="2"/>
  <c r="E1315" i="2"/>
  <c r="D1315" i="2"/>
  <c r="C1315" i="2"/>
  <c r="B1315" i="2"/>
  <c r="A1315" i="2"/>
  <c r="E494" i="2"/>
  <c r="L494" i="2" s="1"/>
  <c r="D494" i="2"/>
  <c r="C494" i="2"/>
  <c r="B494" i="2"/>
  <c r="A494" i="2"/>
  <c r="E1669" i="2"/>
  <c r="D1669" i="2"/>
  <c r="C1669" i="2"/>
  <c r="B1669" i="2"/>
  <c r="A1669" i="2"/>
  <c r="E1390" i="2"/>
  <c r="L1390" i="2" s="1"/>
  <c r="D1390" i="2"/>
  <c r="C1390" i="2"/>
  <c r="B1390" i="2"/>
  <c r="A1390" i="2"/>
  <c r="E909" i="2"/>
  <c r="L909" i="2" s="1"/>
  <c r="D909" i="2"/>
  <c r="B909" i="2"/>
  <c r="A909" i="2"/>
  <c r="E1205" i="2"/>
  <c r="L1205" i="2" s="1"/>
  <c r="D1205" i="2"/>
  <c r="B1205" i="2"/>
  <c r="A1205" i="2"/>
  <c r="E721" i="2"/>
  <c r="L721" i="2" s="1"/>
  <c r="D721" i="2"/>
  <c r="C721" i="2"/>
  <c r="B721" i="2"/>
  <c r="A721" i="2"/>
  <c r="E1204" i="2"/>
  <c r="L1204" i="2" s="1"/>
  <c r="D1204" i="2"/>
  <c r="B1204" i="2"/>
  <c r="A1204" i="2"/>
  <c r="E772" i="2"/>
  <c r="L772" i="2" s="1"/>
  <c r="D772" i="2"/>
  <c r="C772" i="2"/>
  <c r="B772" i="2"/>
  <c r="A772" i="2"/>
  <c r="E1751" i="2"/>
  <c r="L1751" i="2" s="1"/>
  <c r="D1751" i="2"/>
  <c r="C1751" i="2"/>
  <c r="B1751" i="2"/>
  <c r="A1751" i="2"/>
  <c r="E720" i="2"/>
  <c r="L720" i="2" s="1"/>
  <c r="D720" i="2"/>
  <c r="C720" i="2"/>
  <c r="B720" i="2"/>
  <c r="A720" i="2"/>
  <c r="E1165" i="2"/>
  <c r="D1165" i="2"/>
  <c r="B1165" i="2"/>
  <c r="A1165" i="2"/>
  <c r="E771" i="2"/>
  <c r="L771" i="2" s="1"/>
  <c r="D771" i="2"/>
  <c r="C771" i="2"/>
  <c r="B771" i="2"/>
  <c r="A771" i="2"/>
  <c r="E835" i="2"/>
  <c r="L835" i="2" s="1"/>
  <c r="D835" i="2"/>
  <c r="C835" i="2"/>
  <c r="B835" i="2"/>
  <c r="A835" i="2"/>
  <c r="E1027" i="2"/>
  <c r="L1027" i="2" s="1"/>
  <c r="D1027" i="2"/>
  <c r="C1027" i="2"/>
  <c r="B1027" i="2"/>
  <c r="A1027" i="2"/>
  <c r="E1347" i="2"/>
  <c r="L1347" i="2" s="1"/>
  <c r="D1347" i="2"/>
  <c r="C1347" i="2"/>
  <c r="B1347" i="2"/>
  <c r="A1347" i="2"/>
  <c r="E1316" i="2"/>
  <c r="L1316" i="2" s="1"/>
  <c r="D1316" i="2"/>
  <c r="C1316" i="2"/>
  <c r="B1316" i="2"/>
  <c r="A1316" i="2"/>
  <c r="E1187" i="2"/>
  <c r="L1187" i="2" s="1"/>
  <c r="D1187" i="2"/>
  <c r="C1187" i="2"/>
  <c r="B1187" i="2"/>
  <c r="A1187" i="2"/>
  <c r="E543" i="2"/>
  <c r="L543" i="2" s="1"/>
  <c r="D543" i="2"/>
  <c r="C543" i="2"/>
  <c r="B543" i="2"/>
  <c r="A543" i="2"/>
  <c r="E834" i="2"/>
  <c r="L834" i="2" s="1"/>
  <c r="O834" i="2" s="1"/>
  <c r="D834" i="2"/>
  <c r="C834" i="2"/>
  <c r="B834" i="2"/>
  <c r="A834" i="2"/>
  <c r="E672" i="2"/>
  <c r="L672" i="2" s="1"/>
  <c r="O672" i="2" s="1"/>
  <c r="D672" i="2"/>
  <c r="B672" i="2"/>
  <c r="A672" i="2"/>
  <c r="E982" i="2"/>
  <c r="L982" i="2" s="1"/>
  <c r="O982" i="2" s="1"/>
  <c r="D982" i="2"/>
  <c r="C982" i="2"/>
  <c r="B982" i="2"/>
  <c r="A982" i="2"/>
  <c r="E1576" i="2"/>
  <c r="L1576" i="2" s="1"/>
  <c r="D1576" i="2"/>
  <c r="C1576" i="2"/>
  <c r="B1576" i="2"/>
  <c r="A1576" i="2"/>
  <c r="E1102" i="2"/>
  <c r="L1102" i="2" s="1"/>
  <c r="D1102" i="2"/>
  <c r="C1102" i="2"/>
  <c r="B1102" i="2"/>
  <c r="A1102" i="2"/>
  <c r="E1715" i="2"/>
  <c r="L1715" i="2" s="1"/>
  <c r="D1715" i="2"/>
  <c r="C1715" i="2"/>
  <c r="B1715" i="2"/>
  <c r="A1715" i="2"/>
  <c r="E719" i="2"/>
  <c r="L719" i="2" s="1"/>
  <c r="D719" i="2"/>
  <c r="C719" i="2"/>
  <c r="B719" i="2"/>
  <c r="A719" i="2"/>
  <c r="E833" i="2"/>
  <c r="L833" i="2" s="1"/>
  <c r="O833" i="2" s="1"/>
  <c r="D833" i="2"/>
  <c r="C833" i="2"/>
  <c r="B833" i="2"/>
  <c r="A833" i="2"/>
  <c r="E402" i="2"/>
  <c r="L402" i="2" s="1"/>
  <c r="D402" i="2"/>
  <c r="C402" i="2"/>
  <c r="B402" i="2"/>
  <c r="A402" i="2"/>
  <c r="E194" i="2"/>
  <c r="L194" i="2" s="1"/>
  <c r="O194" i="2" s="1"/>
  <c r="D194" i="2"/>
  <c r="C194" i="2"/>
  <c r="B194" i="2"/>
  <c r="A194" i="2"/>
  <c r="E420" i="2"/>
  <c r="L420" i="2" s="1"/>
  <c r="D420" i="2"/>
  <c r="B420" i="2"/>
  <c r="A420" i="2"/>
  <c r="E1101" i="2"/>
  <c r="L1101" i="2" s="1"/>
  <c r="D1101" i="2"/>
  <c r="C1101" i="2"/>
  <c r="B1101" i="2"/>
  <c r="A1101" i="2"/>
  <c r="E908" i="2"/>
  <c r="L908" i="2" s="1"/>
  <c r="D908" i="2"/>
  <c r="C908" i="2"/>
  <c r="B908" i="2"/>
  <c r="A908" i="2"/>
  <c r="E1671" i="2"/>
  <c r="D1671" i="2"/>
  <c r="C1671" i="2"/>
  <c r="B1671" i="2"/>
  <c r="A1671" i="2"/>
  <c r="E587" i="2"/>
  <c r="L587" i="2" s="1"/>
  <c r="O587" i="2" s="1"/>
  <c r="D587" i="2"/>
  <c r="C587" i="2"/>
  <c r="B587" i="2"/>
  <c r="A587" i="2"/>
  <c r="E1078" i="2"/>
  <c r="D1078" i="2"/>
  <c r="C1078" i="2"/>
  <c r="B1078" i="2"/>
  <c r="A1078" i="2"/>
  <c r="E1421" i="2"/>
  <c r="D1421" i="2"/>
  <c r="C1421" i="2"/>
  <c r="B1421" i="2"/>
  <c r="A1421" i="2"/>
  <c r="E475" i="2"/>
  <c r="L475" i="2" s="1"/>
  <c r="D475" i="2"/>
  <c r="C475" i="2"/>
  <c r="B475" i="2"/>
  <c r="A475" i="2"/>
  <c r="E1740" i="2"/>
  <c r="L1740" i="2" s="1"/>
  <c r="D1740" i="2"/>
  <c r="B1740" i="2"/>
  <c r="A1740" i="2"/>
  <c r="E1026" i="2"/>
  <c r="L1026" i="2" s="1"/>
  <c r="D1026" i="2"/>
  <c r="C1026" i="2"/>
  <c r="B1026" i="2"/>
  <c r="A1026" i="2"/>
  <c r="E372" i="2"/>
  <c r="L372" i="2" s="1"/>
  <c r="O372" i="2" s="1"/>
  <c r="D372" i="2"/>
  <c r="B372" i="2"/>
  <c r="A372" i="2"/>
  <c r="E357" i="2"/>
  <c r="L357" i="2" s="1"/>
  <c r="D357" i="2"/>
  <c r="B357" i="2"/>
  <c r="A357" i="2"/>
  <c r="E621" i="2"/>
  <c r="L621" i="2" s="1"/>
  <c r="D621" i="2"/>
  <c r="B621" i="2"/>
  <c r="A621" i="2"/>
  <c r="E451" i="2"/>
  <c r="L451" i="2" s="1"/>
  <c r="D451" i="2"/>
  <c r="C451" i="2"/>
  <c r="B451" i="2"/>
  <c r="A451" i="2"/>
  <c r="E1203" i="2"/>
  <c r="L1203" i="2" s="1"/>
  <c r="O1203" i="2" s="1"/>
  <c r="D1203" i="2"/>
  <c r="B1203" i="2"/>
  <c r="A1203" i="2"/>
  <c r="E1418" i="2"/>
  <c r="L1418" i="2" s="1"/>
  <c r="D1418" i="2"/>
  <c r="C1418" i="2"/>
  <c r="B1418" i="2"/>
  <c r="A1418" i="2"/>
  <c r="E558" i="2"/>
  <c r="L558" i="2" s="1"/>
  <c r="D558" i="2"/>
  <c r="B558" i="2"/>
  <c r="A558" i="2"/>
  <c r="E770" i="2"/>
  <c r="L770" i="2" s="1"/>
  <c r="D770" i="2"/>
  <c r="B770" i="2"/>
  <c r="A770" i="2"/>
  <c r="E419" i="2"/>
  <c r="L419" i="2" s="1"/>
  <c r="O419" i="2" s="1"/>
  <c r="D419" i="2"/>
  <c r="C419" i="2"/>
  <c r="B419" i="2"/>
  <c r="A419" i="2"/>
  <c r="E832" i="2"/>
  <c r="L832" i="2" s="1"/>
  <c r="D832" i="2"/>
  <c r="C832" i="2"/>
  <c r="B832" i="2"/>
  <c r="A832" i="2"/>
  <c r="E1786" i="2"/>
  <c r="D1786" i="2"/>
  <c r="B1786" i="2"/>
  <c r="A1786" i="2"/>
  <c r="E671" i="2"/>
  <c r="L671" i="2" s="1"/>
  <c r="D671" i="2"/>
  <c r="B671" i="2"/>
  <c r="A671" i="2"/>
  <c r="E1202" i="2"/>
  <c r="L1202" i="2" s="1"/>
  <c r="D1202" i="2"/>
  <c r="C1202" i="2"/>
  <c r="B1202" i="2"/>
  <c r="A1202" i="2"/>
  <c r="E788" i="2"/>
  <c r="D788" i="2"/>
  <c r="C788" i="2"/>
  <c r="B788" i="2"/>
  <c r="A788" i="2"/>
  <c r="E148" i="2"/>
  <c r="L148" i="2" s="1"/>
  <c r="O148" i="2" s="1"/>
  <c r="D148" i="2"/>
  <c r="C148" i="2"/>
  <c r="B148" i="2"/>
  <c r="A148" i="2"/>
  <c r="E100" i="2"/>
  <c r="D100" i="2"/>
  <c r="B100" i="2"/>
  <c r="A100" i="2"/>
  <c r="E1305" i="2"/>
  <c r="L1305" i="2" s="1"/>
  <c r="D1305" i="2"/>
  <c r="C1305" i="2"/>
  <c r="B1305" i="2"/>
  <c r="A1305" i="2"/>
  <c r="E831" i="2"/>
  <c r="L831" i="2" s="1"/>
  <c r="D831" i="2"/>
  <c r="C831" i="2"/>
  <c r="B831" i="2"/>
  <c r="A831" i="2"/>
  <c r="E418" i="2"/>
  <c r="L418" i="2" s="1"/>
  <c r="O418" i="2" s="1"/>
  <c r="D418" i="2"/>
  <c r="B418" i="2"/>
  <c r="A418" i="2"/>
  <c r="E1464" i="2"/>
  <c r="D1464" i="2"/>
  <c r="C1464" i="2"/>
  <c r="B1464" i="2"/>
  <c r="A1464" i="2"/>
  <c r="E696" i="2"/>
  <c r="D696" i="2"/>
  <c r="C696" i="2"/>
  <c r="B696" i="2"/>
  <c r="A696" i="2"/>
  <c r="E907" i="2"/>
  <c r="L907" i="2" s="1"/>
  <c r="D907" i="2"/>
  <c r="B907" i="2"/>
  <c r="A907" i="2"/>
  <c r="E1374" i="2"/>
  <c r="L1374" i="2" s="1"/>
  <c r="D1374" i="2"/>
  <c r="C1374" i="2"/>
  <c r="B1374" i="2"/>
  <c r="A1374" i="2"/>
  <c r="E1510" i="2"/>
  <c r="D1510" i="2"/>
  <c r="C1510" i="2"/>
  <c r="B1510" i="2"/>
  <c r="A1510" i="2"/>
  <c r="E1714" i="2"/>
  <c r="L1714" i="2" s="1"/>
  <c r="D1714" i="2"/>
  <c r="B1714" i="2"/>
  <c r="A1714" i="2"/>
  <c r="E1447" i="2"/>
  <c r="D1447" i="2"/>
  <c r="C1447" i="2"/>
  <c r="B1447" i="2"/>
  <c r="A1447" i="2"/>
  <c r="E629" i="2"/>
  <c r="L629" i="2" s="1"/>
  <c r="D629" i="2"/>
  <c r="B629" i="2"/>
  <c r="A629" i="2"/>
  <c r="E693" i="2"/>
  <c r="D693" i="2"/>
  <c r="C693" i="2"/>
  <c r="B693" i="2"/>
  <c r="A693" i="2"/>
  <c r="E991" i="2"/>
  <c r="L991" i="2" s="1"/>
  <c r="D991" i="2"/>
  <c r="C991" i="2"/>
  <c r="B991" i="2"/>
  <c r="A991" i="2"/>
  <c r="E814" i="2"/>
  <c r="D814" i="2"/>
  <c r="C814" i="2"/>
  <c r="B814" i="2"/>
  <c r="A814" i="2"/>
  <c r="E986" i="2"/>
  <c r="D986" i="2"/>
  <c r="B986" i="2"/>
  <c r="A986" i="2"/>
  <c r="E830" i="2"/>
  <c r="L830" i="2" s="1"/>
  <c r="D830" i="2"/>
  <c r="B830" i="2"/>
  <c r="A830" i="2"/>
  <c r="E257" i="2"/>
  <c r="L257" i="2" s="1"/>
  <c r="D257" i="2"/>
  <c r="B257" i="2"/>
  <c r="A257" i="2"/>
  <c r="E292" i="2"/>
  <c r="L292" i="2" s="1"/>
  <c r="D292" i="2"/>
  <c r="C292" i="2"/>
  <c r="B292" i="2"/>
  <c r="A292" i="2"/>
  <c r="E990" i="2"/>
  <c r="L990" i="2" s="1"/>
  <c r="D990" i="2"/>
  <c r="C990" i="2"/>
  <c r="B990" i="2"/>
  <c r="A990" i="2"/>
  <c r="E1056" i="2"/>
  <c r="L1056" i="2" s="1"/>
  <c r="D1056" i="2"/>
  <c r="C1056" i="2"/>
  <c r="B1056" i="2"/>
  <c r="A1056" i="2"/>
  <c r="E1055" i="2"/>
  <c r="L1055" i="2" s="1"/>
  <c r="D1055" i="2"/>
  <c r="C1055" i="2"/>
  <c r="B1055" i="2"/>
  <c r="A1055" i="2"/>
  <c r="E1701" i="2"/>
  <c r="L1701" i="2" s="1"/>
  <c r="D1701" i="2"/>
  <c r="B1701" i="2"/>
  <c r="A1701" i="2"/>
  <c r="E1005" i="2"/>
  <c r="D1005" i="2"/>
  <c r="C1005" i="2"/>
  <c r="B1005" i="2"/>
  <c r="A1005" i="2"/>
  <c r="E1455" i="2"/>
  <c r="D1455" i="2"/>
  <c r="C1455" i="2"/>
  <c r="B1455" i="2"/>
  <c r="A1455" i="2"/>
  <c r="E463" i="2"/>
  <c r="D463" i="2"/>
  <c r="C463" i="2"/>
  <c r="B463" i="2"/>
  <c r="A463" i="2"/>
  <c r="E256" i="2"/>
  <c r="L256" i="2" s="1"/>
  <c r="O256" i="2" s="1"/>
  <c r="D256" i="2"/>
  <c r="B256" i="2"/>
  <c r="A256" i="2"/>
  <c r="E462" i="2"/>
  <c r="D462" i="2"/>
  <c r="C462" i="2"/>
  <c r="B462" i="2"/>
  <c r="A462" i="2"/>
  <c r="E647" i="2"/>
  <c r="L647" i="2" s="1"/>
  <c r="O647" i="2" s="1"/>
  <c r="D647" i="2"/>
  <c r="C647" i="2"/>
  <c r="B647" i="2"/>
  <c r="A647" i="2"/>
  <c r="E513" i="2"/>
  <c r="L513" i="2" s="1"/>
  <c r="D513" i="2"/>
  <c r="B513" i="2"/>
  <c r="A513" i="2"/>
  <c r="E1713" i="2"/>
  <c r="L1713" i="2" s="1"/>
  <c r="O1713" i="2" s="1"/>
  <c r="D1713" i="2"/>
  <c r="B1713" i="2"/>
  <c r="A1713" i="2"/>
  <c r="E769" i="2"/>
  <c r="L769" i="2" s="1"/>
  <c r="O769" i="2" s="1"/>
  <c r="D769" i="2"/>
  <c r="C769" i="2"/>
  <c r="B769" i="2"/>
  <c r="A769" i="2"/>
  <c r="E768" i="2"/>
  <c r="L768" i="2" s="1"/>
  <c r="O768" i="2" s="1"/>
  <c r="D768" i="2"/>
  <c r="C768" i="2"/>
  <c r="B768" i="2"/>
  <c r="A768" i="2"/>
  <c r="E291" i="2"/>
  <c r="L291" i="2" s="1"/>
  <c r="D291" i="2"/>
  <c r="C291" i="2"/>
  <c r="B291" i="2"/>
  <c r="A291" i="2"/>
  <c r="E586" i="2"/>
  <c r="L586" i="2" s="1"/>
  <c r="O586" i="2" s="1"/>
  <c r="D586" i="2"/>
  <c r="C586" i="2"/>
  <c r="B586" i="2"/>
  <c r="A586" i="2"/>
  <c r="E906" i="2"/>
  <c r="L906" i="2" s="1"/>
  <c r="D906" i="2"/>
  <c r="C906" i="2"/>
  <c r="B906" i="2"/>
  <c r="A906" i="2"/>
  <c r="E542" i="2"/>
  <c r="L542" i="2" s="1"/>
  <c r="O542" i="2" s="1"/>
  <c r="D542" i="2"/>
  <c r="C542" i="2"/>
  <c r="B542" i="2"/>
  <c r="A542" i="2"/>
  <c r="E1622" i="2"/>
  <c r="L1622" i="2" s="1"/>
  <c r="O1622" i="2" s="1"/>
  <c r="D1622" i="2"/>
  <c r="B1622" i="2"/>
  <c r="A1622" i="2"/>
  <c r="E450" i="2"/>
  <c r="L450" i="2" s="1"/>
  <c r="D450" i="2"/>
  <c r="C450" i="2"/>
  <c r="B450" i="2"/>
  <c r="A450" i="2"/>
  <c r="E1509" i="2"/>
  <c r="D1509" i="2"/>
  <c r="C1509" i="2"/>
  <c r="B1509" i="2"/>
  <c r="A1509" i="2"/>
  <c r="E1269" i="2"/>
  <c r="L1269" i="2" s="1"/>
  <c r="D1269" i="2"/>
  <c r="C1269" i="2"/>
  <c r="B1269" i="2"/>
  <c r="A1269" i="2"/>
  <c r="E585" i="2"/>
  <c r="L585" i="2" s="1"/>
  <c r="O585" i="2" s="1"/>
  <c r="D585" i="2"/>
  <c r="C585" i="2"/>
  <c r="B585" i="2"/>
  <c r="A585" i="2"/>
  <c r="E1268" i="2"/>
  <c r="L1268" i="2" s="1"/>
  <c r="D1268" i="2"/>
  <c r="C1268" i="2"/>
  <c r="B1268" i="2"/>
  <c r="A1268" i="2"/>
  <c r="E356" i="2"/>
  <c r="L356" i="2" s="1"/>
  <c r="O356" i="2" s="1"/>
  <c r="D356" i="2"/>
  <c r="C356" i="2"/>
  <c r="B356" i="2"/>
  <c r="A356" i="2"/>
  <c r="E324" i="2"/>
  <c r="L324" i="2" s="1"/>
  <c r="D324" i="2"/>
  <c r="B324" i="2"/>
  <c r="A324" i="2"/>
  <c r="E1785" i="2"/>
  <c r="D1785" i="2"/>
  <c r="C1785" i="2"/>
  <c r="B1785" i="2"/>
  <c r="A1785" i="2"/>
  <c r="E1586" i="2"/>
  <c r="L1586" i="2" s="1"/>
  <c r="D1586" i="2"/>
  <c r="C1586" i="2"/>
  <c r="B1586" i="2"/>
  <c r="A1586" i="2"/>
  <c r="E1064" i="2"/>
  <c r="D1064" i="2"/>
  <c r="C1064" i="2"/>
  <c r="B1064" i="2"/>
  <c r="A1064" i="2"/>
  <c r="E1417" i="2"/>
  <c r="L1417" i="2" s="1"/>
  <c r="D1417" i="2"/>
  <c r="C1417" i="2"/>
  <c r="B1417" i="2"/>
  <c r="A1417" i="2"/>
  <c r="E322" i="2"/>
  <c r="L322" i="2" s="1"/>
  <c r="D322" i="2"/>
  <c r="C322" i="2"/>
  <c r="B322" i="2"/>
  <c r="A322" i="2"/>
  <c r="E228" i="2"/>
  <c r="L228" i="2" s="1"/>
  <c r="D228" i="2"/>
  <c r="C228" i="2"/>
  <c r="B228" i="2"/>
  <c r="A228" i="2"/>
  <c r="E905" i="2"/>
  <c r="L905" i="2" s="1"/>
  <c r="D905" i="2"/>
  <c r="B905" i="2"/>
  <c r="A905" i="2"/>
  <c r="E1152" i="2"/>
  <c r="L1152" i="2" s="1"/>
  <c r="D1152" i="2"/>
  <c r="C1152" i="2"/>
  <c r="B1152" i="2"/>
  <c r="A1152" i="2"/>
  <c r="E646" i="2"/>
  <c r="L646" i="2" s="1"/>
  <c r="O646" i="2" s="1"/>
  <c r="D646" i="2"/>
  <c r="C646" i="2"/>
  <c r="B646" i="2"/>
  <c r="A646" i="2"/>
  <c r="E290" i="2"/>
  <c r="L290" i="2" s="1"/>
  <c r="D290" i="2"/>
  <c r="C290" i="2"/>
  <c r="B290" i="2"/>
  <c r="A290" i="2"/>
  <c r="E1690" i="2"/>
  <c r="L1690" i="2" s="1"/>
  <c r="D1690" i="2"/>
  <c r="C1690" i="2"/>
  <c r="B1690" i="2"/>
  <c r="A1690" i="2"/>
  <c r="E260" i="2"/>
  <c r="L260" i="2" s="1"/>
  <c r="O260" i="2" s="1"/>
  <c r="D260" i="2"/>
  <c r="B260" i="2"/>
  <c r="A260" i="2"/>
  <c r="E147" i="2"/>
  <c r="L147" i="2" s="1"/>
  <c r="O147" i="2" s="1"/>
  <c r="D147" i="2"/>
  <c r="C147" i="2"/>
  <c r="B147" i="2"/>
  <c r="A147" i="2"/>
  <c r="E116" i="2"/>
  <c r="L116" i="2" s="1"/>
  <c r="O116" i="2" s="1"/>
  <c r="D116" i="2"/>
  <c r="C116" i="2"/>
  <c r="B116" i="2"/>
  <c r="A116" i="2"/>
  <c r="E493" i="2"/>
  <c r="L493" i="2" s="1"/>
  <c r="D493" i="2"/>
  <c r="B493" i="2"/>
  <c r="A493" i="2"/>
  <c r="E255" i="2"/>
  <c r="L255" i="2" s="1"/>
  <c r="D255" i="2"/>
  <c r="C255" i="2"/>
  <c r="B255" i="2"/>
  <c r="A255" i="2"/>
  <c r="E1201" i="2"/>
  <c r="L1201" i="2" s="1"/>
  <c r="O1201" i="2" s="1"/>
  <c r="D1201" i="2"/>
  <c r="B1201" i="2"/>
  <c r="A1201" i="2"/>
  <c r="E645" i="2"/>
  <c r="L645" i="2" s="1"/>
  <c r="D645" i="2"/>
  <c r="C645" i="2"/>
  <c r="B645" i="2"/>
  <c r="A645" i="2"/>
  <c r="E967" i="2"/>
  <c r="L967" i="2" s="1"/>
  <c r="D967" i="2"/>
  <c r="B967" i="2"/>
  <c r="A967" i="2"/>
  <c r="E461" i="2"/>
  <c r="D461" i="2"/>
  <c r="B461" i="2"/>
  <c r="A461" i="2"/>
  <c r="E584" i="2"/>
  <c r="L584" i="2" s="1"/>
  <c r="D584" i="2"/>
  <c r="B584" i="2"/>
  <c r="A584" i="2"/>
  <c r="E608" i="2"/>
  <c r="D608" i="2"/>
  <c r="C608" i="2"/>
  <c r="B608" i="2"/>
  <c r="A608" i="2"/>
  <c r="E1110" i="2"/>
  <c r="L1110" i="2" s="1"/>
  <c r="O1110" i="2" s="1"/>
  <c r="D1110" i="2"/>
  <c r="C1110" i="2"/>
  <c r="B1110" i="2"/>
  <c r="A1110" i="2"/>
  <c r="E966" i="2"/>
  <c r="L966" i="2" s="1"/>
  <c r="O966" i="2" s="1"/>
  <c r="D966" i="2"/>
  <c r="C966" i="2"/>
  <c r="B966" i="2"/>
  <c r="A966" i="2"/>
  <c r="E355" i="2"/>
  <c r="L355" i="2" s="1"/>
  <c r="O355" i="2" s="1"/>
  <c r="D355" i="2"/>
  <c r="B355" i="2"/>
  <c r="A355" i="2"/>
  <c r="E1788" i="2"/>
  <c r="D1788" i="2"/>
  <c r="C1788" i="2"/>
  <c r="B1788" i="2"/>
  <c r="A1788" i="2"/>
  <c r="E1267" i="2"/>
  <c r="L1267" i="2" s="1"/>
  <c r="D1267" i="2"/>
  <c r="B1267" i="2"/>
  <c r="A1267" i="2"/>
  <c r="E1223" i="2"/>
  <c r="L1223" i="2" s="1"/>
  <c r="D1223" i="2"/>
  <c r="C1223" i="2"/>
  <c r="B1223" i="2"/>
  <c r="A1223" i="2"/>
  <c r="E1222" i="2"/>
  <c r="L1222" i="2" s="1"/>
  <c r="D1222" i="2"/>
  <c r="C1222" i="2"/>
  <c r="B1222" i="2"/>
  <c r="A1222" i="2"/>
  <c r="E1272" i="2"/>
  <c r="L1272" i="2" s="1"/>
  <c r="D1272" i="2"/>
  <c r="C1272" i="2"/>
  <c r="B1272" i="2"/>
  <c r="A1272" i="2"/>
  <c r="E1416" i="2"/>
  <c r="L1416" i="2" s="1"/>
  <c r="D1416" i="2"/>
  <c r="C1416" i="2"/>
  <c r="B1416" i="2"/>
  <c r="A1416" i="2"/>
  <c r="E1123" i="2"/>
  <c r="L1123" i="2" s="1"/>
  <c r="D1123" i="2"/>
  <c r="C1123" i="2"/>
  <c r="B1123" i="2"/>
  <c r="A1123" i="2"/>
  <c r="E22" i="2"/>
  <c r="D22" i="2"/>
  <c r="B22" i="2"/>
  <c r="A22" i="2"/>
  <c r="E417" i="2"/>
  <c r="L417" i="2" s="1"/>
  <c r="O417" i="2" s="1"/>
  <c r="D417" i="2"/>
  <c r="C417" i="2"/>
  <c r="B417" i="2"/>
  <c r="A417" i="2"/>
  <c r="E1621" i="2"/>
  <c r="L1621" i="2" s="1"/>
  <c r="D1621" i="2"/>
  <c r="C1621" i="2"/>
  <c r="B1621" i="2"/>
  <c r="A1621" i="2"/>
  <c r="E1373" i="2"/>
  <c r="L1373" i="2" s="1"/>
  <c r="D1373" i="2"/>
  <c r="C1373" i="2"/>
  <c r="B1373" i="2"/>
  <c r="A1373" i="2"/>
  <c r="E1394" i="2"/>
  <c r="L1394" i="2" s="1"/>
  <c r="D1394" i="2"/>
  <c r="B1394" i="2"/>
  <c r="A1394" i="2"/>
  <c r="E449" i="2"/>
  <c r="L449" i="2" s="1"/>
  <c r="D449" i="2"/>
  <c r="C449" i="2"/>
  <c r="B449" i="2"/>
  <c r="A449" i="2"/>
  <c r="E220" i="2"/>
  <c r="L220" i="2" s="1"/>
  <c r="O220" i="2" s="1"/>
  <c r="D220" i="2"/>
  <c r="B220" i="2"/>
  <c r="A220" i="2"/>
  <c r="E1113" i="2"/>
  <c r="D1113" i="2"/>
  <c r="C1113" i="2"/>
  <c r="B1113" i="2"/>
  <c r="A1113" i="2"/>
  <c r="E1758" i="2"/>
  <c r="L1758" i="2" s="1"/>
  <c r="D1758" i="2"/>
  <c r="C1758" i="2"/>
  <c r="B1758" i="2"/>
  <c r="A1758" i="2"/>
  <c r="E460" i="2"/>
  <c r="D460" i="2"/>
  <c r="C460" i="2"/>
  <c r="B460" i="2"/>
  <c r="A460" i="2"/>
  <c r="E1248" i="2"/>
  <c r="L1248" i="2" s="1"/>
  <c r="D1248" i="2"/>
  <c r="B1248" i="2"/>
  <c r="A1248" i="2"/>
  <c r="E1323" i="2"/>
  <c r="L1323" i="2" s="1"/>
  <c r="D1323" i="2"/>
  <c r="C1323" i="2"/>
  <c r="B1323" i="2"/>
  <c r="A1323" i="2"/>
  <c r="E1536" i="2"/>
  <c r="L1536" i="2" s="1"/>
  <c r="D1536" i="2"/>
  <c r="C1536" i="2"/>
  <c r="B1536" i="2"/>
  <c r="A1536" i="2"/>
  <c r="E1116" i="2"/>
  <c r="L1116" i="2" s="1"/>
  <c r="D1116" i="2"/>
  <c r="C1116" i="2"/>
  <c r="B1116" i="2"/>
  <c r="A1116" i="2"/>
  <c r="E1167" i="2"/>
  <c r="L1167" i="2" s="1"/>
  <c r="D1167" i="2"/>
  <c r="C1167" i="2"/>
  <c r="B1167" i="2"/>
  <c r="A1167" i="2"/>
  <c r="E358" i="2"/>
  <c r="L358" i="2" s="1"/>
  <c r="O358" i="2" s="1"/>
  <c r="D358" i="2"/>
  <c r="C358" i="2"/>
  <c r="B358" i="2"/>
  <c r="A358" i="2"/>
  <c r="E1400" i="2"/>
  <c r="L1400" i="2" s="1"/>
  <c r="O1400" i="2" s="1"/>
  <c r="D1400" i="2"/>
  <c r="C1400" i="2"/>
  <c r="B1400" i="2"/>
  <c r="A1400" i="2"/>
  <c r="E183" i="2"/>
  <c r="L183" i="2" s="1"/>
  <c r="O183" i="2" s="1"/>
  <c r="D183" i="2"/>
  <c r="C183" i="2"/>
  <c r="B183" i="2"/>
  <c r="A183" i="2"/>
  <c r="E1289" i="2"/>
  <c r="D1289" i="2"/>
  <c r="B1289" i="2"/>
  <c r="A1289" i="2"/>
  <c r="E259" i="2"/>
  <c r="L259" i="2" s="1"/>
  <c r="O259" i="2" s="1"/>
  <c r="D259" i="2"/>
  <c r="C259" i="2"/>
  <c r="B259" i="2"/>
  <c r="A259" i="2"/>
  <c r="E1314" i="2"/>
  <c r="D1314" i="2"/>
  <c r="B1314" i="2"/>
  <c r="A1314" i="2"/>
  <c r="E1304" i="2"/>
  <c r="L1304" i="2" s="1"/>
  <c r="D1304" i="2"/>
  <c r="B1304" i="2"/>
  <c r="A1304" i="2"/>
  <c r="E1773" i="2"/>
  <c r="L1773" i="2" s="1"/>
  <c r="D1773" i="2"/>
  <c r="C1773" i="2"/>
  <c r="B1773" i="2"/>
  <c r="A1773" i="2"/>
  <c r="E492" i="2"/>
  <c r="L492" i="2" s="1"/>
  <c r="O492" i="2" s="1"/>
  <c r="D492" i="2"/>
  <c r="B492" i="2"/>
  <c r="A492" i="2"/>
  <c r="E718" i="2"/>
  <c r="L718" i="2" s="1"/>
  <c r="D718" i="2"/>
  <c r="C718" i="2"/>
  <c r="B718" i="2"/>
  <c r="A718" i="2"/>
  <c r="E1100" i="2"/>
  <c r="L1100" i="2" s="1"/>
  <c r="D1100" i="2"/>
  <c r="C1100" i="2"/>
  <c r="B1100" i="2"/>
  <c r="A1100" i="2"/>
  <c r="E871" i="2"/>
  <c r="L871" i="2" s="1"/>
  <c r="D871" i="2"/>
  <c r="C871" i="2"/>
  <c r="B871" i="2"/>
  <c r="A871" i="2"/>
  <c r="E1802" i="2"/>
  <c r="L1802" i="2" s="1"/>
  <c r="D1802" i="2"/>
  <c r="B1802" i="2"/>
  <c r="A1802" i="2"/>
  <c r="E1151" i="2"/>
  <c r="L1151" i="2" s="1"/>
  <c r="D1151" i="2"/>
  <c r="B1151" i="2"/>
  <c r="A1151" i="2"/>
  <c r="E416" i="2"/>
  <c r="L416" i="2" s="1"/>
  <c r="D416" i="2"/>
  <c r="C416" i="2"/>
  <c r="B416" i="2"/>
  <c r="A416" i="2"/>
  <c r="E491" i="2"/>
  <c r="L491" i="2" s="1"/>
  <c r="D491" i="2"/>
  <c r="C491" i="2"/>
  <c r="B491" i="2"/>
  <c r="A491" i="2"/>
  <c r="E105" i="2"/>
  <c r="L105" i="2" s="1"/>
  <c r="D105" i="2"/>
  <c r="C105" i="2"/>
  <c r="B105" i="2"/>
  <c r="A105" i="2"/>
  <c r="E182" i="2"/>
  <c r="L182" i="2" s="1"/>
  <c r="O182" i="2" s="1"/>
  <c r="D182" i="2"/>
  <c r="C182" i="2"/>
  <c r="B182" i="2"/>
  <c r="A182" i="2"/>
  <c r="E692" i="2"/>
  <c r="D692" i="2"/>
  <c r="C692" i="2"/>
  <c r="B692" i="2"/>
  <c r="A692" i="2"/>
  <c r="E1219" i="2"/>
  <c r="L1219" i="2" s="1"/>
  <c r="O1219" i="2" s="1"/>
  <c r="D1219" i="2"/>
  <c r="C1219" i="2"/>
  <c r="B1219" i="2"/>
  <c r="A1219" i="2"/>
  <c r="E607" i="2"/>
  <c r="D607" i="2"/>
  <c r="C607" i="2"/>
  <c r="B607" i="2"/>
  <c r="A607" i="2"/>
  <c r="E1668" i="2"/>
  <c r="D1668" i="2"/>
  <c r="C1668" i="2"/>
  <c r="B1668" i="2"/>
  <c r="A1668" i="2"/>
  <c r="E1077" i="2"/>
  <c r="D1077" i="2"/>
  <c r="B1077" i="2"/>
  <c r="A1077" i="2"/>
  <c r="E289" i="2"/>
  <c r="L289" i="2" s="1"/>
  <c r="D289" i="2"/>
  <c r="C289" i="2"/>
  <c r="B289" i="2"/>
  <c r="A289" i="2"/>
  <c r="E644" i="2"/>
  <c r="L644" i="2" s="1"/>
  <c r="D644" i="2"/>
  <c r="B644" i="2"/>
  <c r="A644" i="2"/>
  <c r="E1459" i="2"/>
  <c r="L1459" i="2" s="1"/>
  <c r="D1459" i="2"/>
  <c r="C1459" i="2"/>
  <c r="B1459" i="2"/>
  <c r="A1459" i="2"/>
  <c r="E794" i="2"/>
  <c r="L794" i="2" s="1"/>
  <c r="D794" i="2"/>
  <c r="C794" i="2"/>
  <c r="B794" i="2"/>
  <c r="A794" i="2"/>
  <c r="E691" i="2"/>
  <c r="D691" i="2"/>
  <c r="C691" i="2"/>
  <c r="B691" i="2"/>
  <c r="A691" i="2"/>
  <c r="E767" i="2"/>
  <c r="L767" i="2" s="1"/>
  <c r="D767" i="2"/>
  <c r="C767" i="2"/>
  <c r="B767" i="2"/>
  <c r="A767" i="2"/>
  <c r="E766" i="2"/>
  <c r="L766" i="2" s="1"/>
  <c r="D766" i="2"/>
  <c r="C766" i="2"/>
  <c r="B766" i="2"/>
  <c r="A766" i="2"/>
  <c r="E490" i="2"/>
  <c r="L490" i="2" s="1"/>
  <c r="D490" i="2"/>
  <c r="B490" i="2"/>
  <c r="A490" i="2"/>
  <c r="E517" i="2"/>
  <c r="D517" i="2"/>
  <c r="C517" i="2"/>
  <c r="B517" i="2"/>
  <c r="A517" i="2"/>
  <c r="E1689" i="2"/>
  <c r="L1689" i="2" s="1"/>
  <c r="D1689" i="2"/>
  <c r="B1689" i="2"/>
  <c r="A1689" i="2"/>
  <c r="E1650" i="2"/>
  <c r="L1650" i="2" s="1"/>
  <c r="D1650" i="2"/>
  <c r="C1650" i="2"/>
  <c r="B1650" i="2"/>
  <c r="A1650" i="2"/>
  <c r="E744" i="2"/>
  <c r="L744" i="2" s="1"/>
  <c r="D744" i="2"/>
  <c r="C744" i="2"/>
  <c r="B744" i="2"/>
  <c r="A744" i="2"/>
  <c r="E254" i="2"/>
  <c r="L254" i="2" s="1"/>
  <c r="D254" i="2"/>
  <c r="C254" i="2"/>
  <c r="B254" i="2"/>
  <c r="A254" i="2"/>
  <c r="E904" i="2"/>
  <c r="L904" i="2" s="1"/>
  <c r="D904" i="2"/>
  <c r="C904" i="2"/>
  <c r="B904" i="2"/>
  <c r="A904" i="2"/>
  <c r="E1076" i="2"/>
  <c r="D1076" i="2"/>
  <c r="C1076" i="2"/>
  <c r="B1076" i="2"/>
  <c r="A1076" i="2"/>
  <c r="E583" i="2"/>
  <c r="L583" i="2" s="1"/>
  <c r="O583" i="2" s="1"/>
  <c r="D583" i="2"/>
  <c r="C583" i="2"/>
  <c r="B583" i="2"/>
  <c r="A583" i="2"/>
  <c r="E448" i="2"/>
  <c r="L448" i="2" s="1"/>
  <c r="D448" i="2"/>
  <c r="C448" i="2"/>
  <c r="B448" i="2"/>
  <c r="A448" i="2"/>
  <c r="E1814" i="2"/>
  <c r="L1814" i="2" s="1"/>
  <c r="O1814" i="2" s="1"/>
  <c r="D1814" i="2"/>
  <c r="B1814" i="2"/>
  <c r="A1814" i="2"/>
  <c r="E1348" i="2"/>
  <c r="D1348" i="2"/>
  <c r="C1348" i="2"/>
  <c r="B1348" i="2"/>
  <c r="A1348" i="2"/>
  <c r="E516" i="2"/>
  <c r="D516" i="2"/>
  <c r="C516" i="2"/>
  <c r="B516" i="2"/>
  <c r="A516" i="2"/>
  <c r="E32" i="2"/>
  <c r="D32" i="2"/>
  <c r="B32" i="2"/>
  <c r="A32" i="2"/>
  <c r="E52" i="2"/>
  <c r="D52" i="2"/>
  <c r="C52" i="2"/>
  <c r="B52" i="2"/>
  <c r="A52" i="2"/>
  <c r="E415" i="2"/>
  <c r="L415" i="2" s="1"/>
  <c r="D415" i="2"/>
  <c r="C415" i="2"/>
  <c r="B415" i="2"/>
  <c r="A415" i="2"/>
  <c r="E288" i="2"/>
  <c r="L288" i="2" s="1"/>
  <c r="D288" i="2"/>
  <c r="B288" i="2"/>
  <c r="A288" i="2"/>
  <c r="E181" i="2"/>
  <c r="L181" i="2" s="1"/>
  <c r="D181" i="2"/>
  <c r="C181" i="2"/>
  <c r="B181" i="2"/>
  <c r="A181" i="2"/>
  <c r="E1471" i="2"/>
  <c r="D1471" i="2"/>
  <c r="C1471" i="2"/>
  <c r="B1471" i="2"/>
  <c r="A1471" i="2"/>
  <c r="E1164" i="2"/>
  <c r="D1164" i="2"/>
  <c r="C1164" i="2"/>
  <c r="B1164" i="2"/>
  <c r="A1164" i="2"/>
  <c r="E1177" i="2"/>
  <c r="D1177" i="2"/>
  <c r="B1177" i="2"/>
  <c r="A1177" i="2"/>
  <c r="E387" i="2"/>
  <c r="L387" i="2" s="1"/>
  <c r="D387" i="2"/>
  <c r="C387" i="2"/>
  <c r="B387" i="2"/>
  <c r="A387" i="2"/>
  <c r="E813" i="2"/>
  <c r="D813" i="2"/>
  <c r="B813" i="2"/>
  <c r="A813" i="2"/>
  <c r="E287" i="2"/>
  <c r="L287" i="2" s="1"/>
  <c r="O287" i="2" s="1"/>
  <c r="D287" i="2"/>
  <c r="C287" i="2"/>
  <c r="B287" i="2"/>
  <c r="A287" i="2"/>
  <c r="E1560" i="2"/>
  <c r="D1560" i="2"/>
  <c r="B1560" i="2"/>
  <c r="A1560" i="2"/>
  <c r="E401" i="2"/>
  <c r="D401" i="2"/>
  <c r="C401" i="2"/>
  <c r="B401" i="2"/>
  <c r="A401" i="2"/>
  <c r="E1427" i="2"/>
  <c r="L1427" i="2" s="1"/>
  <c r="D1427" i="2"/>
  <c r="C1427" i="2"/>
  <c r="B1427" i="2"/>
  <c r="A1427" i="2"/>
  <c r="E1462" i="2"/>
  <c r="L1462" i="2" s="1"/>
  <c r="O1462" i="2" s="1"/>
  <c r="D1462" i="2"/>
  <c r="C1462" i="2"/>
  <c r="B1462" i="2"/>
  <c r="A1462" i="2"/>
  <c r="E286" i="2"/>
  <c r="L286" i="2" s="1"/>
  <c r="O286" i="2" s="1"/>
  <c r="D286" i="2"/>
  <c r="C286" i="2"/>
  <c r="B286" i="2"/>
  <c r="A286" i="2"/>
  <c r="E123" i="2"/>
  <c r="L123" i="2" s="1"/>
  <c r="D123" i="2"/>
  <c r="C123" i="2"/>
  <c r="B123" i="2"/>
  <c r="A123" i="2"/>
  <c r="E582" i="2"/>
  <c r="L582" i="2" s="1"/>
  <c r="D582" i="2"/>
  <c r="C582" i="2"/>
  <c r="B582" i="2"/>
  <c r="A582" i="2"/>
  <c r="E213" i="2"/>
  <c r="L213" i="2" s="1"/>
  <c r="O213" i="2" s="1"/>
  <c r="D213" i="2"/>
  <c r="C213" i="2"/>
  <c r="B213" i="2"/>
  <c r="A213" i="2"/>
  <c r="E1800" i="2"/>
  <c r="L1800" i="2" s="1"/>
  <c r="D1800" i="2"/>
  <c r="B1800" i="2"/>
  <c r="A1800" i="2"/>
  <c r="E765" i="2"/>
  <c r="L765" i="2" s="1"/>
  <c r="O765" i="2" s="1"/>
  <c r="D765" i="2"/>
  <c r="C765" i="2"/>
  <c r="B765" i="2"/>
  <c r="A765" i="2"/>
  <c r="E865" i="2"/>
  <c r="L865" i="2" s="1"/>
  <c r="D865" i="2"/>
  <c r="B865" i="2"/>
  <c r="A865" i="2"/>
  <c r="E321" i="2"/>
  <c r="L321" i="2" s="1"/>
  <c r="O321" i="2" s="1"/>
  <c r="D321" i="2"/>
  <c r="C321" i="2"/>
  <c r="B321" i="2"/>
  <c r="A321" i="2"/>
  <c r="E285" i="2"/>
  <c r="L285" i="2" s="1"/>
  <c r="O285" i="2" s="1"/>
  <c r="D285" i="2"/>
  <c r="C285" i="2"/>
  <c r="B285" i="2"/>
  <c r="A285" i="2"/>
  <c r="E764" i="2"/>
  <c r="L764" i="2" s="1"/>
  <c r="O764" i="2" s="1"/>
  <c r="D764" i="2"/>
  <c r="B764" i="2"/>
  <c r="A764" i="2"/>
  <c r="E180" i="2"/>
  <c r="L180" i="2" s="1"/>
  <c r="D180" i="2"/>
  <c r="B180" i="2"/>
  <c r="A180" i="2"/>
  <c r="E1570" i="2"/>
  <c r="L1570" i="2" s="1"/>
  <c r="O1570" i="2" s="1"/>
  <c r="D1570" i="2"/>
  <c r="C1570" i="2"/>
  <c r="B1570" i="2"/>
  <c r="A1570" i="2"/>
  <c r="E434" i="2"/>
  <c r="L434" i="2" s="1"/>
  <c r="O434" i="2" s="1"/>
  <c r="D434" i="2"/>
  <c r="C434" i="2"/>
  <c r="B434" i="2"/>
  <c r="A434" i="2"/>
  <c r="E643" i="2"/>
  <c r="L643" i="2" s="1"/>
  <c r="O643" i="2" s="1"/>
  <c r="D643" i="2"/>
  <c r="C643" i="2"/>
  <c r="B643" i="2"/>
  <c r="A643" i="2"/>
  <c r="E1706" i="2"/>
  <c r="L1706" i="2" s="1"/>
  <c r="D1706" i="2"/>
  <c r="B1706" i="2"/>
  <c r="A1706" i="2"/>
  <c r="E717" i="2"/>
  <c r="L717" i="2" s="1"/>
  <c r="D717" i="2"/>
  <c r="B717" i="2"/>
  <c r="A717" i="2"/>
  <c r="E414" i="2"/>
  <c r="L414" i="2" s="1"/>
  <c r="O414" i="2" s="1"/>
  <c r="D414" i="2"/>
  <c r="C414" i="2"/>
  <c r="B414" i="2"/>
  <c r="A414" i="2"/>
  <c r="E763" i="2"/>
  <c r="L763" i="2" s="1"/>
  <c r="D763" i="2"/>
  <c r="B763" i="2"/>
  <c r="A763" i="2"/>
  <c r="E1787" i="2"/>
  <c r="L1787" i="2" s="1"/>
  <c r="O1787" i="2" s="1"/>
  <c r="D1787" i="2"/>
  <c r="C1787" i="2"/>
  <c r="B1787" i="2"/>
  <c r="A1787" i="2"/>
  <c r="E1528" i="2"/>
  <c r="L1528" i="2" s="1"/>
  <c r="O1528" i="2" s="1"/>
  <c r="D1528" i="2"/>
  <c r="C1528" i="2"/>
  <c r="B1528" i="2"/>
  <c r="A1528" i="2"/>
  <c r="E829" i="2"/>
  <c r="L829" i="2" s="1"/>
  <c r="D829" i="2"/>
  <c r="C829" i="2"/>
  <c r="B829" i="2"/>
  <c r="A829" i="2"/>
  <c r="E642" i="2"/>
  <c r="L642" i="2" s="1"/>
  <c r="D642" i="2"/>
  <c r="C642" i="2"/>
  <c r="B642" i="2"/>
  <c r="A642" i="2"/>
  <c r="E581" i="2"/>
  <c r="L581" i="2" s="1"/>
  <c r="D581" i="2"/>
  <c r="C581" i="2"/>
  <c r="B581" i="2"/>
  <c r="A581" i="2"/>
  <c r="E354" i="2"/>
  <c r="L354" i="2" s="1"/>
  <c r="D354" i="2"/>
  <c r="B354" i="2"/>
  <c r="A354" i="2"/>
  <c r="E716" i="2"/>
  <c r="L716" i="2" s="1"/>
  <c r="D716" i="2"/>
  <c r="B716" i="2"/>
  <c r="A716" i="2"/>
  <c r="E432" i="2"/>
  <c r="D432" i="2"/>
  <c r="B432" i="2"/>
  <c r="A432" i="2"/>
  <c r="E413" i="2"/>
  <c r="L413" i="2" s="1"/>
  <c r="D413" i="2"/>
  <c r="C413" i="2"/>
  <c r="B413" i="2"/>
  <c r="A413" i="2"/>
  <c r="E828" i="2"/>
  <c r="L828" i="2" s="1"/>
  <c r="D828" i="2"/>
  <c r="B828" i="2"/>
  <c r="A828" i="2"/>
  <c r="E903" i="2"/>
  <c r="L903" i="2" s="1"/>
  <c r="D903" i="2"/>
  <c r="B903" i="2"/>
  <c r="A903" i="2"/>
  <c r="E1247" i="2"/>
  <c r="L1247" i="2" s="1"/>
  <c r="O1247" i="2" s="1"/>
  <c r="D1247" i="2"/>
  <c r="B1247" i="2"/>
  <c r="A1247" i="2"/>
  <c r="E1620" i="2"/>
  <c r="L1620" i="2" s="1"/>
  <c r="D1620" i="2"/>
  <c r="B1620" i="2"/>
  <c r="A1620" i="2"/>
  <c r="E264" i="2"/>
  <c r="L264" i="2" s="1"/>
  <c r="D264" i="2"/>
  <c r="B264" i="2"/>
  <c r="A264" i="2"/>
  <c r="E447" i="2"/>
  <c r="L447" i="2" s="1"/>
  <c r="D447" i="2"/>
  <c r="B447" i="2"/>
  <c r="A447" i="2"/>
  <c r="E1200" i="2"/>
  <c r="L1200" i="2" s="1"/>
  <c r="D1200" i="2"/>
  <c r="B1200" i="2"/>
  <c r="A1200" i="2"/>
  <c r="E1199" i="2"/>
  <c r="L1199" i="2" s="1"/>
  <c r="O1199" i="2" s="1"/>
  <c r="D1199" i="2"/>
  <c r="C1199" i="2"/>
  <c r="B1199" i="2"/>
  <c r="A1199" i="2"/>
  <c r="E1246" i="2"/>
  <c r="L1246" i="2" s="1"/>
  <c r="D1246" i="2"/>
  <c r="B1246" i="2"/>
  <c r="A1246" i="2"/>
  <c r="E606" i="2"/>
  <c r="D606" i="2"/>
  <c r="C606" i="2"/>
  <c r="B606" i="2"/>
  <c r="A606" i="2"/>
  <c r="E353" i="2"/>
  <c r="L353" i="2" s="1"/>
  <c r="D353" i="2"/>
  <c r="B353" i="2"/>
  <c r="A353" i="2"/>
  <c r="E804" i="2"/>
  <c r="L804" i="2" s="1"/>
  <c r="D804" i="2"/>
  <c r="C804" i="2"/>
  <c r="B804" i="2"/>
  <c r="A804" i="2"/>
  <c r="E1063" i="2"/>
  <c r="D1063" i="2"/>
  <c r="C1063" i="2"/>
  <c r="B1063" i="2"/>
  <c r="A1063" i="2"/>
  <c r="E965" i="2"/>
  <c r="L965" i="2" s="1"/>
  <c r="O965" i="2" s="1"/>
  <c r="D965" i="2"/>
  <c r="C965" i="2"/>
  <c r="B965" i="2"/>
  <c r="A965" i="2"/>
  <c r="E1025" i="2"/>
  <c r="L1025" i="2" s="1"/>
  <c r="D1025" i="2"/>
  <c r="C1025" i="2"/>
  <c r="B1025" i="2"/>
  <c r="A1025" i="2"/>
  <c r="E320" i="2"/>
  <c r="L320" i="2" s="1"/>
  <c r="O320" i="2" s="1"/>
  <c r="D320" i="2"/>
  <c r="C320" i="2"/>
  <c r="B320" i="2"/>
  <c r="A320" i="2"/>
  <c r="E489" i="2"/>
  <c r="L489" i="2" s="1"/>
  <c r="D489" i="2"/>
  <c r="B489" i="2"/>
  <c r="A489" i="2"/>
  <c r="E253" i="2"/>
  <c r="L253" i="2" s="1"/>
  <c r="D253" i="2"/>
  <c r="C253" i="2"/>
  <c r="B253" i="2"/>
  <c r="A253" i="2"/>
  <c r="E1469" i="2"/>
  <c r="L1469" i="2" s="1"/>
  <c r="O1469" i="2" s="1"/>
  <c r="D1469" i="2"/>
  <c r="C1469" i="2"/>
  <c r="B1469" i="2"/>
  <c r="A1469" i="2"/>
  <c r="E1237" i="2"/>
  <c r="L1237" i="2" s="1"/>
  <c r="D1237" i="2"/>
  <c r="B1237" i="2"/>
  <c r="A1237" i="2"/>
  <c r="E115" i="2"/>
  <c r="L115" i="2" s="1"/>
  <c r="D115" i="2"/>
  <c r="C115" i="2"/>
  <c r="B115" i="2"/>
  <c r="A115" i="2"/>
  <c r="E1245" i="2"/>
  <c r="L1245" i="2" s="1"/>
  <c r="O1245" i="2" s="1"/>
  <c r="D1245" i="2"/>
  <c r="C1245" i="2"/>
  <c r="B1245" i="2"/>
  <c r="A1245" i="2"/>
  <c r="E1295" i="2"/>
  <c r="L1295" i="2" s="1"/>
  <c r="O1295" i="2" s="1"/>
  <c r="D1295" i="2"/>
  <c r="B1295" i="2"/>
  <c r="A1295" i="2"/>
  <c r="E964" i="2"/>
  <c r="L964" i="2" s="1"/>
  <c r="O964" i="2" s="1"/>
  <c r="D964" i="2"/>
  <c r="B964" i="2"/>
  <c r="A964" i="2"/>
  <c r="E932" i="2"/>
  <c r="L932" i="2" s="1"/>
  <c r="D932" i="2"/>
  <c r="C932" i="2"/>
  <c r="B932" i="2"/>
  <c r="A932" i="2"/>
  <c r="E1476" i="2"/>
  <c r="L1476" i="2" s="1"/>
  <c r="D1476" i="2"/>
  <c r="B1476" i="2"/>
  <c r="A1476" i="2"/>
  <c r="E488" i="2"/>
  <c r="L488" i="2" s="1"/>
  <c r="O488" i="2" s="1"/>
  <c r="D488" i="2"/>
  <c r="B488" i="2"/>
  <c r="A488" i="2"/>
  <c r="E1062" i="2"/>
  <c r="D1062" i="2"/>
  <c r="C1062" i="2"/>
  <c r="B1062" i="2"/>
  <c r="A1062" i="2"/>
  <c r="E237" i="2"/>
  <c r="D237" i="2"/>
  <c r="B237" i="2"/>
  <c r="A237" i="2"/>
  <c r="E580" i="2"/>
  <c r="L580" i="2" s="1"/>
  <c r="D580" i="2"/>
  <c r="C580" i="2"/>
  <c r="B580" i="2"/>
  <c r="A580" i="2"/>
  <c r="E446" i="2"/>
  <c r="L446" i="2" s="1"/>
  <c r="D446" i="2"/>
  <c r="C446" i="2"/>
  <c r="B446" i="2"/>
  <c r="A446" i="2"/>
  <c r="E1662" i="2"/>
  <c r="L1662" i="2" s="1"/>
  <c r="D1662" i="2"/>
  <c r="C1662" i="2"/>
  <c r="B1662" i="2"/>
  <c r="A1662" i="2"/>
  <c r="E445" i="2"/>
  <c r="L445" i="2" s="1"/>
  <c r="D445" i="2"/>
  <c r="B445" i="2"/>
  <c r="A445" i="2"/>
  <c r="E1174" i="2"/>
  <c r="L1174" i="2" s="1"/>
  <c r="D1174" i="2"/>
  <c r="C1174" i="2"/>
  <c r="B1174" i="2"/>
  <c r="A1174" i="2"/>
  <c r="E1099" i="2"/>
  <c r="L1099" i="2" s="1"/>
  <c r="D1099" i="2"/>
  <c r="B1099" i="2"/>
  <c r="A1099" i="2"/>
  <c r="E1547" i="2"/>
  <c r="L1547" i="2" s="1"/>
  <c r="D1547" i="2"/>
  <c r="B1547" i="2"/>
  <c r="A1547" i="2"/>
  <c r="E386" i="2"/>
  <c r="L386" i="2" s="1"/>
  <c r="D386" i="2"/>
  <c r="B386" i="2"/>
  <c r="A386" i="2"/>
  <c r="E981" i="2"/>
  <c r="L981" i="2" s="1"/>
  <c r="D981" i="2"/>
  <c r="B981" i="2"/>
  <c r="A981" i="2"/>
  <c r="E1637" i="2"/>
  <c r="D1637" i="2"/>
  <c r="C1637" i="2"/>
  <c r="B1637" i="2"/>
  <c r="A1637" i="2"/>
  <c r="E541" i="2"/>
  <c r="L541" i="2" s="1"/>
  <c r="D541" i="2"/>
  <c r="C541" i="2"/>
  <c r="B541" i="2"/>
  <c r="A541" i="2"/>
  <c r="E715" i="2"/>
  <c r="L715" i="2" s="1"/>
  <c r="O715" i="2" s="1"/>
  <c r="D715" i="2"/>
  <c r="C715" i="2"/>
  <c r="B715" i="2"/>
  <c r="A715" i="2"/>
  <c r="E252" i="2"/>
  <c r="L252" i="2" s="1"/>
  <c r="D252" i="2"/>
  <c r="B252" i="2"/>
  <c r="A252" i="2"/>
  <c r="E801" i="2"/>
  <c r="L801" i="2" s="1"/>
  <c r="O801" i="2" s="1"/>
  <c r="D801" i="2"/>
  <c r="C801" i="2"/>
  <c r="B801" i="2"/>
  <c r="A801" i="2"/>
  <c r="E487" i="2"/>
  <c r="L487" i="2" s="1"/>
  <c r="O487" i="2" s="1"/>
  <c r="D487" i="2"/>
  <c r="B487" i="2"/>
  <c r="A487" i="2"/>
  <c r="E1150" i="2"/>
  <c r="L1150" i="2" s="1"/>
  <c r="D1150" i="2"/>
  <c r="B1150" i="2"/>
  <c r="A1150" i="2"/>
  <c r="E122" i="2"/>
  <c r="L122" i="2" s="1"/>
  <c r="O122" i="2" s="1"/>
  <c r="D122" i="2"/>
  <c r="C122" i="2"/>
  <c r="B122" i="2"/>
  <c r="A122" i="2"/>
  <c r="E486" i="2"/>
  <c r="L486" i="2" s="1"/>
  <c r="O486" i="2" s="1"/>
  <c r="D486" i="2"/>
  <c r="B486" i="2"/>
  <c r="A486" i="2"/>
  <c r="E305" i="2"/>
  <c r="L305" i="2" s="1"/>
  <c r="O305" i="2" s="1"/>
  <c r="D305" i="2"/>
  <c r="C305" i="2"/>
  <c r="B305" i="2"/>
  <c r="A305" i="2"/>
  <c r="E352" i="2"/>
  <c r="L352" i="2" s="1"/>
  <c r="D352" i="2"/>
  <c r="B352" i="2"/>
  <c r="A352" i="2"/>
  <c r="E336" i="2"/>
  <c r="L336" i="2" s="1"/>
  <c r="D336" i="2"/>
  <c r="C336" i="2"/>
  <c r="B336" i="2"/>
  <c r="A336" i="2"/>
  <c r="E762" i="2"/>
  <c r="L762" i="2" s="1"/>
  <c r="D762" i="2"/>
  <c r="B762" i="2"/>
  <c r="A762" i="2"/>
  <c r="E1490" i="2"/>
  <c r="L1490" i="2" s="1"/>
  <c r="O1490" i="2" s="1"/>
  <c r="D1490" i="2"/>
  <c r="C1490" i="2"/>
  <c r="B1490" i="2"/>
  <c r="A1490" i="2"/>
  <c r="E1661" i="2"/>
  <c r="L1661" i="2" s="1"/>
  <c r="D1661" i="2"/>
  <c r="B1661" i="2"/>
  <c r="A1661" i="2"/>
  <c r="E251" i="2"/>
  <c r="L251" i="2" s="1"/>
  <c r="D251" i="2"/>
  <c r="B251" i="2"/>
  <c r="A251" i="2"/>
  <c r="E761" i="2"/>
  <c r="L761" i="2" s="1"/>
  <c r="O761" i="2" s="1"/>
  <c r="D761" i="2"/>
  <c r="B761" i="2"/>
  <c r="A761" i="2"/>
  <c r="E284" i="2"/>
  <c r="L284" i="2" s="1"/>
  <c r="O284" i="2" s="1"/>
  <c r="D284" i="2"/>
  <c r="B284" i="2"/>
  <c r="A284" i="2"/>
  <c r="E319" i="2"/>
  <c r="L319" i="2" s="1"/>
  <c r="O319" i="2" s="1"/>
  <c r="D319" i="2"/>
  <c r="B319" i="2"/>
  <c r="A319" i="2"/>
  <c r="E1399" i="2"/>
  <c r="L1399" i="2" s="1"/>
  <c r="O1399" i="2" s="1"/>
  <c r="D1399" i="2"/>
  <c r="C1399" i="2"/>
  <c r="B1399" i="2"/>
  <c r="A1399" i="2"/>
  <c r="E1186" i="2"/>
  <c r="L1186" i="2" s="1"/>
  <c r="D1186" i="2"/>
  <c r="C1186" i="2"/>
  <c r="B1186" i="2"/>
  <c r="A1186" i="2"/>
  <c r="E1649" i="2"/>
  <c r="L1649" i="2" s="1"/>
  <c r="D1649" i="2"/>
  <c r="C1649" i="2"/>
  <c r="B1649" i="2"/>
  <c r="A1649" i="2"/>
  <c r="E628" i="2"/>
  <c r="L628" i="2" s="1"/>
  <c r="D628" i="2"/>
  <c r="B628" i="2"/>
  <c r="A628" i="2"/>
  <c r="E1353" i="2"/>
  <c r="L1353" i="2" s="1"/>
  <c r="D1353" i="2"/>
  <c r="B1353" i="2"/>
  <c r="A1353" i="2"/>
  <c r="E385" i="2"/>
  <c r="L385" i="2" s="1"/>
  <c r="D385" i="2"/>
  <c r="B385" i="2"/>
  <c r="A385" i="2"/>
  <c r="E166" i="2"/>
  <c r="L166" i="2" s="1"/>
  <c r="O166" i="2" s="1"/>
  <c r="D166" i="2"/>
  <c r="B166" i="2"/>
  <c r="A166" i="2"/>
  <c r="E690" i="2"/>
  <c r="D690" i="2"/>
  <c r="C690" i="2"/>
  <c r="B690" i="2"/>
  <c r="A690" i="2"/>
  <c r="E351" i="2"/>
  <c r="L351" i="2" s="1"/>
  <c r="D351" i="2"/>
  <c r="C351" i="2"/>
  <c r="B351" i="2"/>
  <c r="A351" i="2"/>
  <c r="E512" i="2"/>
  <c r="L512" i="2" s="1"/>
  <c r="D512" i="2"/>
  <c r="B512" i="2"/>
  <c r="A512" i="2"/>
  <c r="E1792" i="2"/>
  <c r="L1792" i="2" s="1"/>
  <c r="D1792" i="2"/>
  <c r="B1792" i="2"/>
  <c r="A1792" i="2"/>
  <c r="E485" i="2"/>
  <c r="L485" i="2" s="1"/>
  <c r="O485" i="2" s="1"/>
  <c r="D485" i="2"/>
  <c r="C485" i="2"/>
  <c r="B485" i="2"/>
  <c r="A485" i="2"/>
  <c r="E1498" i="2"/>
  <c r="L1498" i="2" s="1"/>
  <c r="D1498" i="2"/>
  <c r="C1498" i="2"/>
  <c r="B1498" i="2"/>
  <c r="A1498" i="2"/>
  <c r="E1198" i="2"/>
  <c r="L1198" i="2" s="1"/>
  <c r="O1198" i="2" s="1"/>
  <c r="D1198" i="2"/>
  <c r="C1198" i="2"/>
  <c r="B1198" i="2"/>
  <c r="A1198" i="2"/>
  <c r="E1660" i="2"/>
  <c r="L1660" i="2" s="1"/>
  <c r="D1660" i="2"/>
  <c r="C1660" i="2"/>
  <c r="B1660" i="2"/>
  <c r="A1660" i="2"/>
  <c r="E827" i="2"/>
  <c r="L827" i="2" s="1"/>
  <c r="D827" i="2"/>
  <c r="B827" i="2"/>
  <c r="A827" i="2"/>
  <c r="E1135" i="2"/>
  <c r="L1135" i="2" s="1"/>
  <c r="D1135" i="2"/>
  <c r="C1135" i="2"/>
  <c r="B1135" i="2"/>
  <c r="A1135" i="2"/>
  <c r="E412" i="2"/>
  <c r="L412" i="2" s="1"/>
  <c r="D412" i="2"/>
  <c r="B412" i="2"/>
  <c r="A412" i="2"/>
  <c r="E714" i="2"/>
  <c r="L714" i="2" s="1"/>
  <c r="O714" i="2" s="1"/>
  <c r="D714" i="2"/>
  <c r="B714" i="2"/>
  <c r="A714" i="2"/>
  <c r="E1024" i="2"/>
  <c r="L1024" i="2" s="1"/>
  <c r="D1024" i="2"/>
  <c r="B1024" i="2"/>
  <c r="A1024" i="2"/>
  <c r="E484" i="2"/>
  <c r="L484" i="2" s="1"/>
  <c r="D484" i="2"/>
  <c r="B484" i="2"/>
  <c r="A484" i="2"/>
  <c r="E641" i="2"/>
  <c r="L641" i="2" s="1"/>
  <c r="D641" i="2"/>
  <c r="C641" i="2"/>
  <c r="B641" i="2"/>
  <c r="A641" i="2"/>
  <c r="E1468" i="2"/>
  <c r="L1468" i="2" s="1"/>
  <c r="O1468" i="2" s="1"/>
  <c r="D1468" i="2"/>
  <c r="C1468" i="2"/>
  <c r="B1468" i="2"/>
  <c r="A1468" i="2"/>
  <c r="E1619" i="2"/>
  <c r="L1619" i="2" s="1"/>
  <c r="D1619" i="2"/>
  <c r="C1619" i="2"/>
  <c r="B1619" i="2"/>
  <c r="A1619" i="2"/>
  <c r="E384" i="2"/>
  <c r="L384" i="2" s="1"/>
  <c r="D384" i="2"/>
  <c r="B384" i="2"/>
  <c r="A384" i="2"/>
  <c r="E902" i="2"/>
  <c r="L902" i="2" s="1"/>
  <c r="O902" i="2" s="1"/>
  <c r="D902" i="2"/>
  <c r="B902" i="2"/>
  <c r="A902" i="2"/>
  <c r="E1696" i="2"/>
  <c r="L1696" i="2" s="1"/>
  <c r="D1696" i="2"/>
  <c r="C1696" i="2"/>
  <c r="B1696" i="2"/>
  <c r="A1696" i="2"/>
  <c r="E713" i="2"/>
  <c r="L713" i="2" s="1"/>
  <c r="D713" i="2"/>
  <c r="C713" i="2"/>
  <c r="B713" i="2"/>
  <c r="A713" i="2"/>
  <c r="E540" i="2"/>
  <c r="L540" i="2" s="1"/>
  <c r="O540" i="2" s="1"/>
  <c r="D540" i="2"/>
  <c r="B540" i="2"/>
  <c r="A540" i="2"/>
  <c r="E227" i="2"/>
  <c r="L227" i="2" s="1"/>
  <c r="D227" i="2"/>
  <c r="B227" i="2"/>
  <c r="A227" i="2"/>
  <c r="E670" i="2"/>
  <c r="L670" i="2" s="1"/>
  <c r="D670" i="2"/>
  <c r="C670" i="2"/>
  <c r="B670" i="2"/>
  <c r="A670" i="2"/>
  <c r="E1527" i="2"/>
  <c r="L1527" i="2" s="1"/>
  <c r="D1527" i="2"/>
  <c r="C1527" i="2"/>
  <c r="B1527" i="2"/>
  <c r="A1527" i="2"/>
  <c r="E689" i="2"/>
  <c r="D689" i="2"/>
  <c r="C689" i="2"/>
  <c r="B689" i="2"/>
  <c r="A689" i="2"/>
  <c r="E1372" i="2"/>
  <c r="L1372" i="2" s="1"/>
  <c r="D1372" i="2"/>
  <c r="B1372" i="2"/>
  <c r="A1372" i="2"/>
  <c r="E1197" i="2"/>
  <c r="L1197" i="2" s="1"/>
  <c r="D1197" i="2"/>
  <c r="C1197" i="2"/>
  <c r="B1197" i="2"/>
  <c r="A1197" i="2"/>
  <c r="E1196" i="2"/>
  <c r="L1196" i="2" s="1"/>
  <c r="D1196" i="2"/>
  <c r="B1196" i="2"/>
  <c r="A1196" i="2"/>
  <c r="E883" i="2"/>
  <c r="D883" i="2"/>
  <c r="C883" i="2"/>
  <c r="B883" i="2"/>
  <c r="A883" i="2"/>
  <c r="E369" i="2"/>
  <c r="L369" i="2" s="1"/>
  <c r="O369" i="2" s="1"/>
  <c r="D369" i="2"/>
  <c r="C369" i="2"/>
  <c r="B369" i="2"/>
  <c r="A369" i="2"/>
  <c r="E539" i="2"/>
  <c r="L539" i="2" s="1"/>
  <c r="D539" i="2"/>
  <c r="C539" i="2"/>
  <c r="B539" i="2"/>
  <c r="A539" i="2"/>
  <c r="E283" i="2"/>
  <c r="L283" i="2" s="1"/>
  <c r="O283" i="2" s="1"/>
  <c r="D283" i="2"/>
  <c r="C283" i="2"/>
  <c r="B283" i="2"/>
  <c r="A283" i="2"/>
  <c r="E368" i="2"/>
  <c r="L368" i="2" s="1"/>
  <c r="O368" i="2" s="1"/>
  <c r="D368" i="2"/>
  <c r="C368" i="2"/>
  <c r="B368" i="2"/>
  <c r="A368" i="2"/>
  <c r="E1648" i="2"/>
  <c r="L1648" i="2" s="1"/>
  <c r="D1648" i="2"/>
  <c r="C1648" i="2"/>
  <c r="B1648" i="2"/>
  <c r="A1648" i="2"/>
  <c r="E640" i="2"/>
  <c r="L640" i="2" s="1"/>
  <c r="D640" i="2"/>
  <c r="B640" i="2"/>
  <c r="A640" i="2"/>
  <c r="E367" i="2"/>
  <c r="L367" i="2" s="1"/>
  <c r="D367" i="2"/>
  <c r="C367" i="2"/>
  <c r="B367" i="2"/>
  <c r="A367" i="2"/>
  <c r="E1730" i="2"/>
  <c r="L1730" i="2" s="1"/>
  <c r="D1730" i="2"/>
  <c r="B1730" i="2"/>
  <c r="A1730" i="2"/>
  <c r="E731" i="2"/>
  <c r="L731" i="2" s="1"/>
  <c r="O731" i="2" s="1"/>
  <c r="D731" i="2"/>
  <c r="B731" i="2"/>
  <c r="A731" i="2"/>
  <c r="E712" i="2"/>
  <c r="L712" i="2" s="1"/>
  <c r="D712" i="2"/>
  <c r="B712" i="2"/>
  <c r="A712" i="2"/>
  <c r="E1303" i="2"/>
  <c r="L1303" i="2" s="1"/>
  <c r="O1303" i="2" s="1"/>
  <c r="D1303" i="2"/>
  <c r="C1303" i="2"/>
  <c r="B1303" i="2"/>
  <c r="A1303" i="2"/>
  <c r="E1185" i="2"/>
  <c r="L1185" i="2" s="1"/>
  <c r="O1185" i="2" s="1"/>
  <c r="D1185" i="2"/>
  <c r="C1185" i="2"/>
  <c r="B1185" i="2"/>
  <c r="A1185" i="2"/>
  <c r="E760" i="2"/>
  <c r="L760" i="2" s="1"/>
  <c r="O760" i="2" s="1"/>
  <c r="D760" i="2"/>
  <c r="B760" i="2"/>
  <c r="A760" i="2"/>
  <c r="E1046" i="2"/>
  <c r="L1046" i="2" s="1"/>
  <c r="D1046" i="2"/>
  <c r="B1046" i="2"/>
  <c r="A1046" i="2"/>
  <c r="E1512" i="2"/>
  <c r="D1512" i="2"/>
  <c r="B1512" i="2"/>
  <c r="A1512" i="2"/>
  <c r="E1659" i="2"/>
  <c r="L1659" i="2" s="1"/>
  <c r="D1659" i="2"/>
  <c r="B1659" i="2"/>
  <c r="A1659" i="2"/>
  <c r="E383" i="2"/>
  <c r="L383" i="2" s="1"/>
  <c r="O383" i="2" s="1"/>
  <c r="D383" i="2"/>
  <c r="C383" i="2"/>
  <c r="B383" i="2"/>
  <c r="A383" i="2"/>
  <c r="E787" i="2"/>
  <c r="D787" i="2"/>
  <c r="C787" i="2"/>
  <c r="B787" i="2"/>
  <c r="A787" i="2"/>
  <c r="E579" i="2"/>
  <c r="L579" i="2" s="1"/>
  <c r="D579" i="2"/>
  <c r="B579" i="2"/>
  <c r="A579" i="2"/>
  <c r="E335" i="2"/>
  <c r="L335" i="2" s="1"/>
  <c r="O335" i="2" s="1"/>
  <c r="D335" i="2"/>
  <c r="C335" i="2"/>
  <c r="B335" i="2"/>
  <c r="A335" i="2"/>
  <c r="E422" i="2"/>
  <c r="L422" i="2" s="1"/>
  <c r="D422" i="2"/>
  <c r="B422" i="2"/>
  <c r="A422" i="2"/>
  <c r="E998" i="2"/>
  <c r="D998" i="2"/>
  <c r="B998" i="2"/>
  <c r="A998" i="2"/>
  <c r="E669" i="2"/>
  <c r="L669" i="2" s="1"/>
  <c r="D669" i="2"/>
  <c r="B669" i="2"/>
  <c r="A669" i="2"/>
  <c r="E1322" i="2"/>
  <c r="L1322" i="2" s="1"/>
  <c r="D1322" i="2"/>
  <c r="C1322" i="2"/>
  <c r="B1322" i="2"/>
  <c r="A1322" i="2"/>
  <c r="E578" i="2"/>
  <c r="L578" i="2" s="1"/>
  <c r="D578" i="2"/>
  <c r="C578" i="2"/>
  <c r="B578" i="2"/>
  <c r="A578" i="2"/>
  <c r="E759" i="2"/>
  <c r="L759" i="2" s="1"/>
  <c r="O759" i="2" s="1"/>
  <c r="D759" i="2"/>
  <c r="C759" i="2"/>
  <c r="B759" i="2"/>
  <c r="A759" i="2"/>
  <c r="E1337" i="2"/>
  <c r="L1337" i="2" s="1"/>
  <c r="D1337" i="2"/>
  <c r="C1337" i="2"/>
  <c r="B1337" i="2"/>
  <c r="A1337" i="2"/>
  <c r="E1618" i="2"/>
  <c r="L1618" i="2" s="1"/>
  <c r="D1618" i="2"/>
  <c r="C1618" i="2"/>
  <c r="B1618" i="2"/>
  <c r="A1618" i="2"/>
  <c r="E1358" i="2"/>
  <c r="D1358" i="2"/>
  <c r="C1358" i="2"/>
  <c r="B1358" i="2"/>
  <c r="A1358" i="2"/>
  <c r="E688" i="2"/>
  <c r="D688" i="2"/>
  <c r="C688" i="2"/>
  <c r="B688" i="2"/>
  <c r="A688" i="2"/>
  <c r="E786" i="2"/>
  <c r="D786" i="2"/>
  <c r="C786" i="2"/>
  <c r="B786" i="2"/>
  <c r="A786" i="2"/>
  <c r="E1388" i="2"/>
  <c r="L1388" i="2" s="1"/>
  <c r="D1388" i="2"/>
  <c r="B1388" i="2"/>
  <c r="A1388" i="2"/>
  <c r="E318" i="2"/>
  <c r="L318" i="2" s="1"/>
  <c r="D318" i="2"/>
  <c r="B318" i="2"/>
  <c r="A318" i="2"/>
  <c r="E577" i="2"/>
  <c r="L577" i="2" s="1"/>
  <c r="O577" i="2" s="1"/>
  <c r="D577" i="2"/>
  <c r="C577" i="2"/>
  <c r="B577" i="2"/>
  <c r="A577" i="2"/>
  <c r="E931" i="2"/>
  <c r="L931" i="2" s="1"/>
  <c r="D931" i="2"/>
  <c r="B931" i="2"/>
  <c r="A931" i="2"/>
  <c r="E1729" i="2"/>
  <c r="L1729" i="2" s="1"/>
  <c r="O1729" i="2" s="1"/>
  <c r="D1729" i="2"/>
  <c r="B1729" i="2"/>
  <c r="A1729" i="2"/>
  <c r="E400" i="2"/>
  <c r="D400" i="2"/>
  <c r="C400" i="2"/>
  <c r="B400" i="2"/>
  <c r="A400" i="2"/>
  <c r="E1728" i="2"/>
  <c r="L1728" i="2" s="1"/>
  <c r="O1728" i="2" s="1"/>
  <c r="D1728" i="2"/>
  <c r="B1728" i="2"/>
  <c r="A1728" i="2"/>
  <c r="E250" i="2"/>
  <c r="L250" i="2" s="1"/>
  <c r="O250" i="2" s="1"/>
  <c r="D250" i="2"/>
  <c r="C250" i="2"/>
  <c r="B250" i="2"/>
  <c r="A250" i="2"/>
  <c r="E1321" i="2"/>
  <c r="L1321" i="2" s="1"/>
  <c r="D1321" i="2"/>
  <c r="C1321" i="2"/>
  <c r="B1321" i="2"/>
  <c r="A1321" i="2"/>
  <c r="E858" i="2"/>
  <c r="L858" i="2" s="1"/>
  <c r="D858" i="2"/>
  <c r="B858" i="2"/>
  <c r="A858" i="2"/>
  <c r="E1047" i="2"/>
  <c r="L1047" i="2" s="1"/>
  <c r="D1047" i="2"/>
  <c r="B1047" i="2"/>
  <c r="A1047" i="2"/>
  <c r="E1071" i="2"/>
  <c r="L1071" i="2" s="1"/>
  <c r="D1071" i="2"/>
  <c r="C1071" i="2"/>
  <c r="B1071" i="2"/>
  <c r="A1071" i="2"/>
  <c r="E639" i="2"/>
  <c r="L639" i="2" s="1"/>
  <c r="D639" i="2"/>
  <c r="C639" i="2"/>
  <c r="B639" i="2"/>
  <c r="A639" i="2"/>
  <c r="E334" i="2"/>
  <c r="L334" i="2" s="1"/>
  <c r="O334" i="2" s="1"/>
  <c r="D334" i="2"/>
  <c r="C334" i="2"/>
  <c r="B334" i="2"/>
  <c r="A334" i="2"/>
  <c r="E538" i="2"/>
  <c r="L538" i="2" s="1"/>
  <c r="D538" i="2"/>
  <c r="C538" i="2"/>
  <c r="B538" i="2"/>
  <c r="A538" i="2"/>
  <c r="E785" i="2"/>
  <c r="D785" i="2"/>
  <c r="C785" i="2"/>
  <c r="B785" i="2"/>
  <c r="A785" i="2"/>
  <c r="E1149" i="2"/>
  <c r="L1149" i="2" s="1"/>
  <c r="O1149" i="2" s="1"/>
  <c r="D1149" i="2"/>
  <c r="B1149" i="2"/>
  <c r="A1149" i="2"/>
  <c r="E1425" i="2"/>
  <c r="L1425" i="2" s="1"/>
  <c r="D1425" i="2"/>
  <c r="B1425" i="2"/>
  <c r="A1425" i="2"/>
  <c r="E444" i="2"/>
  <c r="L444" i="2" s="1"/>
  <c r="O444" i="2" s="1"/>
  <c r="D444" i="2"/>
  <c r="B444" i="2"/>
  <c r="A444" i="2"/>
  <c r="E878" i="2"/>
  <c r="D878" i="2"/>
  <c r="B878" i="2"/>
  <c r="A878" i="2"/>
  <c r="E394" i="2"/>
  <c r="L394" i="2" s="1"/>
  <c r="O394" i="2" s="1"/>
  <c r="D394" i="2"/>
  <c r="C394" i="2"/>
  <c r="B394" i="2"/>
  <c r="A394" i="2"/>
  <c r="E304" i="2"/>
  <c r="L304" i="2" s="1"/>
  <c r="O304" i="2" s="1"/>
  <c r="D304" i="2"/>
  <c r="C304" i="2"/>
  <c r="B304" i="2"/>
  <c r="A304" i="2"/>
  <c r="E483" i="2"/>
  <c r="L483" i="2" s="1"/>
  <c r="D483" i="2"/>
  <c r="C483" i="2"/>
  <c r="B483" i="2"/>
  <c r="A483" i="2"/>
  <c r="E1302" i="2"/>
  <c r="L1302" i="2" s="1"/>
  <c r="D1302" i="2"/>
  <c r="C1302" i="2"/>
  <c r="B1302" i="2"/>
  <c r="A1302" i="2"/>
  <c r="E901" i="2"/>
  <c r="L901" i="2" s="1"/>
  <c r="D901" i="2"/>
  <c r="C901" i="2"/>
  <c r="B901" i="2"/>
  <c r="A901" i="2"/>
  <c r="E175" i="2"/>
  <c r="D175" i="2"/>
  <c r="B175" i="2"/>
  <c r="A175" i="2"/>
  <c r="E1148" i="2"/>
  <c r="L1148" i="2" s="1"/>
  <c r="O1148" i="2" s="1"/>
  <c r="D1148" i="2"/>
  <c r="B1148" i="2"/>
  <c r="A1148" i="2"/>
  <c r="E1793" i="2"/>
  <c r="L1793" i="2" s="1"/>
  <c r="O1793" i="2" s="1"/>
  <c r="D1793" i="2"/>
  <c r="C1793" i="2"/>
  <c r="B1793" i="2"/>
  <c r="A1793" i="2"/>
  <c r="E411" i="2"/>
  <c r="L411" i="2" s="1"/>
  <c r="D411" i="2"/>
  <c r="B411" i="2"/>
  <c r="A411" i="2"/>
  <c r="E576" i="2"/>
  <c r="L576" i="2" s="1"/>
  <c r="O576" i="2" s="1"/>
  <c r="D576" i="2"/>
  <c r="B576" i="2"/>
  <c r="A576" i="2"/>
  <c r="E1799" i="2"/>
  <c r="L1799" i="2" s="1"/>
  <c r="D1799" i="2"/>
  <c r="B1799" i="2"/>
  <c r="A1799" i="2"/>
  <c r="E1098" i="2"/>
  <c r="L1098" i="2" s="1"/>
  <c r="D1098" i="2"/>
  <c r="B1098" i="2"/>
  <c r="A1098" i="2"/>
  <c r="E1803" i="2"/>
  <c r="L1803" i="2" s="1"/>
  <c r="D1803" i="2"/>
  <c r="B1803" i="2"/>
  <c r="A1803" i="2"/>
  <c r="E1140" i="2"/>
  <c r="L1140" i="2" s="1"/>
  <c r="O1140" i="2" s="1"/>
  <c r="D1140" i="2"/>
  <c r="B1140" i="2"/>
  <c r="A1140" i="2"/>
  <c r="E1647" i="2"/>
  <c r="L1647" i="2" s="1"/>
  <c r="O1647" i="2" s="1"/>
  <c r="D1647" i="2"/>
  <c r="C1647" i="2"/>
  <c r="B1647" i="2"/>
  <c r="A1647" i="2"/>
  <c r="E930" i="2"/>
  <c r="L930" i="2" s="1"/>
  <c r="O930" i="2" s="1"/>
  <c r="D930" i="2"/>
  <c r="B930" i="2"/>
  <c r="A930" i="2"/>
  <c r="E711" i="2"/>
  <c r="L711" i="2" s="1"/>
  <c r="D711" i="2"/>
  <c r="B711" i="2"/>
  <c r="A711" i="2"/>
  <c r="E1352" i="2"/>
  <c r="L1352" i="2" s="1"/>
  <c r="O1352" i="2" s="1"/>
  <c r="D1352" i="2"/>
  <c r="C1352" i="2"/>
  <c r="B1352" i="2"/>
  <c r="A1352" i="2"/>
  <c r="E1195" i="2"/>
  <c r="L1195" i="2" s="1"/>
  <c r="D1195" i="2"/>
  <c r="C1195" i="2"/>
  <c r="B1195" i="2"/>
  <c r="A1195" i="2"/>
  <c r="E980" i="2"/>
  <c r="L980" i="2" s="1"/>
  <c r="D980" i="2"/>
  <c r="B980" i="2"/>
  <c r="A980" i="2"/>
  <c r="E1737" i="2"/>
  <c r="L1737" i="2" s="1"/>
  <c r="D1737" i="2"/>
  <c r="B1737" i="2"/>
  <c r="A1737" i="2"/>
  <c r="E1596" i="2"/>
  <c r="D1596" i="2"/>
  <c r="C1596" i="2"/>
  <c r="B1596" i="2"/>
  <c r="A1596" i="2"/>
  <c r="E687" i="2"/>
  <c r="D687" i="2"/>
  <c r="C687" i="2"/>
  <c r="B687" i="2"/>
  <c r="A687" i="2"/>
  <c r="E470" i="2"/>
  <c r="L470" i="2" s="1"/>
  <c r="O470" i="2" s="1"/>
  <c r="D470" i="2"/>
  <c r="C470" i="2"/>
  <c r="B470" i="2"/>
  <c r="A470" i="2"/>
  <c r="E963" i="2"/>
  <c r="L963" i="2" s="1"/>
  <c r="O963" i="2" s="1"/>
  <c r="D963" i="2"/>
  <c r="C963" i="2"/>
  <c r="B963" i="2"/>
  <c r="A963" i="2"/>
  <c r="E1617" i="2"/>
  <c r="L1617" i="2" s="1"/>
  <c r="D1617" i="2"/>
  <c r="B1617" i="2"/>
  <c r="A1617" i="2"/>
  <c r="E686" i="2"/>
  <c r="D686" i="2"/>
  <c r="C686" i="2"/>
  <c r="B686" i="2"/>
  <c r="A686" i="2"/>
  <c r="E282" i="2"/>
  <c r="L282" i="2" s="1"/>
  <c r="D282" i="2"/>
  <c r="C282" i="2"/>
  <c r="B282" i="2"/>
  <c r="A282" i="2"/>
  <c r="E1727" i="2"/>
  <c r="L1727" i="2" s="1"/>
  <c r="D1727" i="2"/>
  <c r="C1727" i="2"/>
  <c r="B1727" i="2"/>
  <c r="A1727" i="2"/>
  <c r="E1143" i="2"/>
  <c r="L1143" i="2" s="1"/>
  <c r="D1143" i="2"/>
  <c r="B1143" i="2"/>
  <c r="A1143" i="2"/>
  <c r="E1552" i="2"/>
  <c r="L1552" i="2" s="1"/>
  <c r="D1552" i="2"/>
  <c r="B1552" i="2"/>
  <c r="A1552" i="2"/>
  <c r="E1424" i="2"/>
  <c r="L1424" i="2" s="1"/>
  <c r="D1424" i="2"/>
  <c r="B1424" i="2"/>
  <c r="A1424" i="2"/>
  <c r="E1698" i="2"/>
  <c r="D1698" i="2"/>
  <c r="C1698" i="2"/>
  <c r="B1698" i="2"/>
  <c r="A1698" i="2"/>
  <c r="E605" i="2"/>
  <c r="D605" i="2"/>
  <c r="C605" i="2"/>
  <c r="B605" i="2"/>
  <c r="A605" i="2"/>
  <c r="E1777" i="2"/>
  <c r="L1777" i="2" s="1"/>
  <c r="D1777" i="2"/>
  <c r="C1777" i="2"/>
  <c r="B1777" i="2"/>
  <c r="A1777" i="2"/>
  <c r="E710" i="2"/>
  <c r="L710" i="2" s="1"/>
  <c r="D710" i="2"/>
  <c r="C710" i="2"/>
  <c r="B710" i="2"/>
  <c r="A710" i="2"/>
  <c r="E855" i="2"/>
  <c r="L855" i="2" s="1"/>
  <c r="D855" i="2"/>
  <c r="C855" i="2"/>
  <c r="B855" i="2"/>
  <c r="A855" i="2"/>
  <c r="E1023" i="2"/>
  <c r="L1023" i="2" s="1"/>
  <c r="D1023" i="2"/>
  <c r="B1023" i="2"/>
  <c r="A1023" i="2"/>
  <c r="E1097" i="2"/>
  <c r="L1097" i="2" s="1"/>
  <c r="D1097" i="2"/>
  <c r="B1097" i="2"/>
  <c r="A1097" i="2"/>
  <c r="E1320" i="2"/>
  <c r="L1320" i="2" s="1"/>
  <c r="D1320" i="2"/>
  <c r="C1320" i="2"/>
  <c r="B1320" i="2"/>
  <c r="A1320" i="2"/>
  <c r="E1616" i="2"/>
  <c r="L1616" i="2" s="1"/>
  <c r="D1616" i="2"/>
  <c r="C1616" i="2"/>
  <c r="B1616" i="2"/>
  <c r="A1616" i="2"/>
  <c r="E1709" i="2"/>
  <c r="L1709" i="2" s="1"/>
  <c r="O1709" i="2" s="1"/>
  <c r="D1709" i="2"/>
  <c r="B1709" i="2"/>
  <c r="A1709" i="2"/>
  <c r="E1697" i="2"/>
  <c r="D1697" i="2"/>
  <c r="C1697" i="2"/>
  <c r="B1697" i="2"/>
  <c r="A1697" i="2"/>
  <c r="E469" i="2"/>
  <c r="L469" i="2" s="1"/>
  <c r="O469" i="2" s="1"/>
  <c r="D469" i="2"/>
  <c r="C469" i="2"/>
  <c r="B469" i="2"/>
  <c r="A469" i="2"/>
  <c r="E429" i="2"/>
  <c r="L429" i="2" s="1"/>
  <c r="O429" i="2" s="1"/>
  <c r="D429" i="2"/>
  <c r="C429" i="2"/>
  <c r="B429" i="2"/>
  <c r="A429" i="2"/>
  <c r="E508" i="2"/>
  <c r="L508" i="2" s="1"/>
  <c r="O508" i="2" s="1"/>
  <c r="D508" i="2"/>
  <c r="C508" i="2"/>
  <c r="B508" i="2"/>
  <c r="A508" i="2"/>
  <c r="E537" i="2"/>
  <c r="L537" i="2" s="1"/>
  <c r="D537" i="2"/>
  <c r="C537" i="2"/>
  <c r="B537" i="2"/>
  <c r="A537" i="2"/>
  <c r="E1087" i="2"/>
  <c r="L1087" i="2" s="1"/>
  <c r="O1087" i="2" s="1"/>
  <c r="D1087" i="2"/>
  <c r="B1087" i="2"/>
  <c r="A1087" i="2"/>
  <c r="E758" i="2"/>
  <c r="L758" i="2" s="1"/>
  <c r="D758" i="2"/>
  <c r="C758" i="2"/>
  <c r="B758" i="2"/>
  <c r="A758" i="2"/>
  <c r="E482" i="2"/>
  <c r="L482" i="2" s="1"/>
  <c r="O482" i="2" s="1"/>
  <c r="D482" i="2"/>
  <c r="C482" i="2"/>
  <c r="B482" i="2"/>
  <c r="A482" i="2"/>
  <c r="E1022" i="2"/>
  <c r="L1022" i="2" s="1"/>
  <c r="D1022" i="2"/>
  <c r="C1022" i="2"/>
  <c r="B1022" i="2"/>
  <c r="A1022" i="2"/>
  <c r="E1218" i="2"/>
  <c r="L1218" i="2" s="1"/>
  <c r="O1218" i="2" s="1"/>
  <c r="D1218" i="2"/>
  <c r="B1218" i="2"/>
  <c r="A1218" i="2"/>
  <c r="E709" i="2"/>
  <c r="L709" i="2" s="1"/>
  <c r="D709" i="2"/>
  <c r="B709" i="2"/>
  <c r="A709" i="2"/>
  <c r="E1591" i="2"/>
  <c r="L1591" i="2" s="1"/>
  <c r="D1591" i="2"/>
  <c r="C1591" i="2"/>
  <c r="B1591" i="2"/>
  <c r="A1591" i="2"/>
  <c r="E468" i="2"/>
  <c r="L468" i="2" s="1"/>
  <c r="D468" i="2"/>
  <c r="C468" i="2"/>
  <c r="B468" i="2"/>
  <c r="A468" i="2"/>
  <c r="E536" i="2"/>
  <c r="L536" i="2" s="1"/>
  <c r="O536" i="2" s="1"/>
  <c r="D536" i="2"/>
  <c r="B536" i="2"/>
  <c r="A536" i="2"/>
  <c r="E900" i="2"/>
  <c r="L900" i="2" s="1"/>
  <c r="D900" i="2"/>
  <c r="B900" i="2"/>
  <c r="A900" i="2"/>
  <c r="E1658" i="2"/>
  <c r="L1658" i="2" s="1"/>
  <c r="D1658" i="2"/>
  <c r="B1658" i="2"/>
  <c r="A1658" i="2"/>
  <c r="E1244" i="2"/>
  <c r="L1244" i="2" s="1"/>
  <c r="D1244" i="2"/>
  <c r="B1244" i="2"/>
  <c r="A1244" i="2"/>
  <c r="E382" i="2"/>
  <c r="L382" i="2" s="1"/>
  <c r="O382" i="2" s="1"/>
  <c r="D382" i="2"/>
  <c r="C382" i="2"/>
  <c r="B382" i="2"/>
  <c r="A382" i="2"/>
  <c r="E1003" i="2"/>
  <c r="L1003" i="2" s="1"/>
  <c r="D1003" i="2"/>
  <c r="C1003" i="2"/>
  <c r="B1003" i="2"/>
  <c r="A1003" i="2"/>
  <c r="E1096" i="2"/>
  <c r="L1096" i="2" s="1"/>
  <c r="D1096" i="2"/>
  <c r="B1096" i="2"/>
  <c r="A1096" i="2"/>
  <c r="E1086" i="2"/>
  <c r="L1086" i="2" s="1"/>
  <c r="D1086" i="2"/>
  <c r="B1086" i="2"/>
  <c r="A1086" i="2"/>
  <c r="E575" i="2"/>
  <c r="L575" i="2" s="1"/>
  <c r="O575" i="2" s="1"/>
  <c r="D575" i="2"/>
  <c r="B575" i="2"/>
  <c r="A575" i="2"/>
  <c r="E1569" i="2"/>
  <c r="L1569" i="2" s="1"/>
  <c r="D1569" i="2"/>
  <c r="B1569" i="2"/>
  <c r="A1569" i="2"/>
  <c r="E1415" i="2"/>
  <c r="L1415" i="2" s="1"/>
  <c r="O1415" i="2" s="1"/>
  <c r="D1415" i="2"/>
  <c r="C1415" i="2"/>
  <c r="B1415" i="2"/>
  <c r="A1415" i="2"/>
  <c r="E985" i="2"/>
  <c r="D985" i="2"/>
  <c r="C985" i="2"/>
  <c r="B985" i="2"/>
  <c r="A985" i="2"/>
  <c r="E1075" i="2"/>
  <c r="D1075" i="2"/>
  <c r="C1075" i="2"/>
  <c r="B1075" i="2"/>
  <c r="A1075" i="2"/>
  <c r="E555" i="2"/>
  <c r="L555" i="2" s="1"/>
  <c r="O555" i="2" s="1"/>
  <c r="D555" i="2"/>
  <c r="B555" i="2"/>
  <c r="A555" i="2"/>
  <c r="E1021" i="2"/>
  <c r="L1021" i="2" s="1"/>
  <c r="D1021" i="2"/>
  <c r="C1021" i="2"/>
  <c r="B1021" i="2"/>
  <c r="A1021" i="2"/>
  <c r="E1184" i="2"/>
  <c r="L1184" i="2" s="1"/>
  <c r="D1184" i="2"/>
  <c r="B1184" i="2"/>
  <c r="A1184" i="2"/>
  <c r="E1020" i="2"/>
  <c r="L1020" i="2" s="1"/>
  <c r="O1020" i="2" s="1"/>
  <c r="D1020" i="2"/>
  <c r="C1020" i="2"/>
  <c r="B1020" i="2"/>
  <c r="A1020" i="2"/>
  <c r="E1301" i="2"/>
  <c r="L1301" i="2" s="1"/>
  <c r="O1301" i="2" s="1"/>
  <c r="D1301" i="2"/>
  <c r="C1301" i="2"/>
  <c r="B1301" i="2"/>
  <c r="A1301" i="2"/>
  <c r="E399" i="2"/>
  <c r="D399" i="2"/>
  <c r="C399" i="2"/>
  <c r="B399" i="2"/>
  <c r="A399" i="2"/>
  <c r="E535" i="2"/>
  <c r="L535" i="2" s="1"/>
  <c r="O535" i="2" s="1"/>
  <c r="D535" i="2"/>
  <c r="B535" i="2"/>
  <c r="A535" i="2"/>
  <c r="E1319" i="2"/>
  <c r="L1319" i="2" s="1"/>
  <c r="D1319" i="2"/>
  <c r="C1319" i="2"/>
  <c r="B1319" i="2"/>
  <c r="A1319" i="2"/>
  <c r="E1615" i="2"/>
  <c r="L1615" i="2" s="1"/>
  <c r="D1615" i="2"/>
  <c r="B1615" i="2"/>
  <c r="A1615" i="2"/>
  <c r="E1147" i="2"/>
  <c r="L1147" i="2" s="1"/>
  <c r="D1147" i="2"/>
  <c r="B1147" i="2"/>
  <c r="A1147" i="2"/>
  <c r="E1657" i="2"/>
  <c r="L1657" i="2" s="1"/>
  <c r="O1657" i="2" s="1"/>
  <c r="D1657" i="2"/>
  <c r="B1657" i="2"/>
  <c r="A1657" i="2"/>
  <c r="E1391" i="2"/>
  <c r="L1391" i="2" s="1"/>
  <c r="D1391" i="2"/>
  <c r="C1391" i="2"/>
  <c r="B1391" i="2"/>
  <c r="A1391" i="2"/>
  <c r="E1590" i="2"/>
  <c r="L1590" i="2" s="1"/>
  <c r="D1590" i="2"/>
  <c r="C1590" i="2"/>
  <c r="B1590" i="2"/>
  <c r="A1590" i="2"/>
  <c r="E1019" i="2"/>
  <c r="L1019" i="2" s="1"/>
  <c r="O1019" i="2" s="1"/>
  <c r="D1019" i="2"/>
  <c r="B1019" i="2"/>
  <c r="A1019" i="2"/>
  <c r="E1568" i="2"/>
  <c r="L1568" i="2" s="1"/>
  <c r="O1568" i="2" s="1"/>
  <c r="D1568" i="2"/>
  <c r="C1568" i="2"/>
  <c r="B1568" i="2"/>
  <c r="A1568" i="2"/>
  <c r="E1407" i="2"/>
  <c r="L1407" i="2" s="1"/>
  <c r="O1407" i="2" s="1"/>
  <c r="D1407" i="2"/>
  <c r="B1407" i="2"/>
  <c r="A1407" i="2"/>
  <c r="E481" i="2"/>
  <c r="L481" i="2" s="1"/>
  <c r="D481" i="2"/>
  <c r="B481" i="2"/>
  <c r="A481" i="2"/>
  <c r="E1095" i="2"/>
  <c r="L1095" i="2" s="1"/>
  <c r="D1095" i="2"/>
  <c r="B1095" i="2"/>
  <c r="A1095" i="2"/>
  <c r="E685" i="2"/>
  <c r="D685" i="2"/>
  <c r="C685" i="2"/>
  <c r="B685" i="2"/>
  <c r="A685" i="2"/>
  <c r="E1748" i="2"/>
  <c r="L1748" i="2" s="1"/>
  <c r="D1748" i="2"/>
  <c r="B1748" i="2"/>
  <c r="A1748" i="2"/>
  <c r="E1757" i="2"/>
  <c r="L1757" i="2" s="1"/>
  <c r="O1757" i="2" s="1"/>
  <c r="D1757" i="2"/>
  <c r="C1757" i="2"/>
  <c r="B1757" i="2"/>
  <c r="A1757" i="2"/>
  <c r="E1134" i="2"/>
  <c r="L1134" i="2" s="1"/>
  <c r="O1134" i="2" s="1"/>
  <c r="D1134" i="2"/>
  <c r="C1134" i="2"/>
  <c r="B1134" i="2"/>
  <c r="A1134" i="2"/>
  <c r="E638" i="2"/>
  <c r="L638" i="2" s="1"/>
  <c r="O638" i="2" s="1"/>
  <c r="D638" i="2"/>
  <c r="B638" i="2"/>
  <c r="A638" i="2"/>
  <c r="E1497" i="2"/>
  <c r="L1497" i="2" s="1"/>
  <c r="D1497" i="2"/>
  <c r="B1497" i="2"/>
  <c r="A1497" i="2"/>
  <c r="E391" i="2"/>
  <c r="L391" i="2" s="1"/>
  <c r="O391" i="2" s="1"/>
  <c r="D391" i="2"/>
  <c r="B391" i="2"/>
  <c r="A391" i="2"/>
  <c r="E615" i="2"/>
  <c r="L615" i="2" s="1"/>
  <c r="D615" i="2"/>
  <c r="C615" i="2"/>
  <c r="B615" i="2"/>
  <c r="A615" i="2"/>
  <c r="E1428" i="2"/>
  <c r="L1428" i="2" s="1"/>
  <c r="D1428" i="2"/>
  <c r="B1428" i="2"/>
  <c r="A1428" i="2"/>
  <c r="E1700" i="2"/>
  <c r="L1700" i="2" s="1"/>
  <c r="D1700" i="2"/>
  <c r="B1700" i="2"/>
  <c r="A1700" i="2"/>
  <c r="E899" i="2"/>
  <c r="L899" i="2" s="1"/>
  <c r="O899" i="2" s="1"/>
  <c r="D899" i="2"/>
  <c r="C899" i="2"/>
  <c r="B899" i="2"/>
  <c r="A899" i="2"/>
  <c r="E534" i="2"/>
  <c r="L534" i="2" s="1"/>
  <c r="O534" i="2" s="1"/>
  <c r="D534" i="2"/>
  <c r="C534" i="2"/>
  <c r="B534" i="2"/>
  <c r="A534" i="2"/>
  <c r="E1458" i="2"/>
  <c r="L1458" i="2" s="1"/>
  <c r="D1458" i="2"/>
  <c r="B1458" i="2"/>
  <c r="A1458" i="2"/>
  <c r="E1183" i="2"/>
  <c r="L1183" i="2" s="1"/>
  <c r="O1183" i="2" s="1"/>
  <c r="D1183" i="2"/>
  <c r="B1183" i="2"/>
  <c r="A1183" i="2"/>
  <c r="E515" i="2"/>
  <c r="D515" i="2"/>
  <c r="B515" i="2"/>
  <c r="A515" i="2"/>
  <c r="E1288" i="2"/>
  <c r="L1288" i="2" s="1"/>
  <c r="O1288" i="2" s="1"/>
  <c r="D1288" i="2"/>
  <c r="C1288" i="2"/>
  <c r="B1288" i="2"/>
  <c r="A1288" i="2"/>
  <c r="E281" i="2"/>
  <c r="L281" i="2" s="1"/>
  <c r="D281" i="2"/>
  <c r="C281" i="2"/>
  <c r="B281" i="2"/>
  <c r="A281" i="2"/>
  <c r="E1243" i="2"/>
  <c r="L1243" i="2" s="1"/>
  <c r="D1243" i="2"/>
  <c r="B1243" i="2"/>
  <c r="A1243" i="2"/>
  <c r="E1656" i="2"/>
  <c r="L1656" i="2" s="1"/>
  <c r="O1656" i="2" s="1"/>
  <c r="D1656" i="2"/>
  <c r="B1656" i="2"/>
  <c r="A1656" i="2"/>
  <c r="E1236" i="2"/>
  <c r="L1236" i="2" s="1"/>
  <c r="D1236" i="2"/>
  <c r="B1236" i="2"/>
  <c r="A1236" i="2"/>
  <c r="E1194" i="2"/>
  <c r="L1194" i="2" s="1"/>
  <c r="O1194" i="2" s="1"/>
  <c r="D1194" i="2"/>
  <c r="B1194" i="2"/>
  <c r="A1194" i="2"/>
  <c r="E1193" i="2"/>
  <c r="L1193" i="2" s="1"/>
  <c r="D1193" i="2"/>
  <c r="B1193" i="2"/>
  <c r="A1193" i="2"/>
  <c r="E554" i="2"/>
  <c r="L554" i="2" s="1"/>
  <c r="O554" i="2" s="1"/>
  <c r="D554" i="2"/>
  <c r="C554" i="2"/>
  <c r="B554" i="2"/>
  <c r="A554" i="2"/>
  <c r="E668" i="2"/>
  <c r="L668" i="2" s="1"/>
  <c r="D668" i="2"/>
  <c r="C668" i="2"/>
  <c r="B668" i="2"/>
  <c r="A668" i="2"/>
  <c r="E708" i="2"/>
  <c r="L708" i="2" s="1"/>
  <c r="D708" i="2"/>
  <c r="B708" i="2"/>
  <c r="A708" i="2"/>
  <c r="E1519" i="2"/>
  <c r="L1519" i="2" s="1"/>
  <c r="O1519" i="2" s="1"/>
  <c r="D1519" i="2"/>
  <c r="C1519" i="2"/>
  <c r="B1519" i="2"/>
  <c r="A1519" i="2"/>
  <c r="E431" i="2"/>
  <c r="D431" i="2"/>
  <c r="B431" i="2"/>
  <c r="A431" i="2"/>
  <c r="E962" i="2"/>
  <c r="L962" i="2" s="1"/>
  <c r="O962" i="2" s="1"/>
  <c r="D962" i="2"/>
  <c r="B962" i="2"/>
  <c r="A962" i="2"/>
  <c r="E898" i="2"/>
  <c r="L898" i="2" s="1"/>
  <c r="O898" i="2" s="1"/>
  <c r="D898" i="2"/>
  <c r="C898" i="2"/>
  <c r="B898" i="2"/>
  <c r="A898" i="2"/>
  <c r="E1711" i="2"/>
  <c r="L1711" i="2" s="1"/>
  <c r="O1711" i="2" s="1"/>
  <c r="D1711" i="2"/>
  <c r="C1711" i="2"/>
  <c r="B1711" i="2"/>
  <c r="A1711" i="2"/>
  <c r="E236" i="2"/>
  <c r="D236" i="2"/>
  <c r="B236" i="2"/>
  <c r="A236" i="2"/>
  <c r="E1368" i="2"/>
  <c r="L1368" i="2" s="1"/>
  <c r="O1368" i="2" s="1"/>
  <c r="D1368" i="2"/>
  <c r="C1368" i="2"/>
  <c r="B1368" i="2"/>
  <c r="A1368" i="2"/>
  <c r="E637" i="2"/>
  <c r="L637" i="2" s="1"/>
  <c r="O637" i="2" s="1"/>
  <c r="D637" i="2"/>
  <c r="C637" i="2"/>
  <c r="B637" i="2"/>
  <c r="A637" i="2"/>
  <c r="E1567" i="2"/>
  <c r="L1567" i="2" s="1"/>
  <c r="O1567" i="2" s="1"/>
  <c r="D1567" i="2"/>
  <c r="B1567" i="2"/>
  <c r="A1567" i="2"/>
  <c r="E519" i="2"/>
  <c r="L519" i="2" s="1"/>
  <c r="D519" i="2"/>
  <c r="C519" i="2"/>
  <c r="B519" i="2"/>
  <c r="A519" i="2"/>
  <c r="E604" i="2"/>
  <c r="D604" i="2"/>
  <c r="C604" i="2"/>
  <c r="B604" i="2"/>
  <c r="A604" i="2"/>
  <c r="E917" i="2"/>
  <c r="L917" i="2" s="1"/>
  <c r="D917" i="2"/>
  <c r="C917" i="2"/>
  <c r="B917" i="2"/>
  <c r="A917" i="2"/>
  <c r="E1266" i="2"/>
  <c r="L1266" i="2" s="1"/>
  <c r="O1266" i="2" s="1"/>
  <c r="D1266" i="2"/>
  <c r="C1266" i="2"/>
  <c r="B1266" i="2"/>
  <c r="A1266" i="2"/>
  <c r="E1756" i="2"/>
  <c r="L1756" i="2" s="1"/>
  <c r="O1756" i="2" s="1"/>
  <c r="D1756" i="2"/>
  <c r="C1756" i="2"/>
  <c r="B1756" i="2"/>
  <c r="A1756" i="2"/>
  <c r="E1294" i="2"/>
  <c r="L1294" i="2" s="1"/>
  <c r="D1294" i="2"/>
  <c r="B1294" i="2"/>
  <c r="A1294" i="2"/>
  <c r="E961" i="2"/>
  <c r="L961" i="2" s="1"/>
  <c r="D961" i="2"/>
  <c r="B961" i="2"/>
  <c r="A961" i="2"/>
  <c r="E1330" i="2"/>
  <c r="L1330" i="2" s="1"/>
  <c r="D1330" i="2"/>
  <c r="B1330" i="2"/>
  <c r="A1330" i="2"/>
  <c r="E1794" i="2"/>
  <c r="D1794" i="2"/>
  <c r="C1794" i="2"/>
  <c r="B1794" i="2"/>
  <c r="A1794" i="2"/>
  <c r="E1235" i="2"/>
  <c r="L1235" i="2" s="1"/>
  <c r="O1235" i="2" s="1"/>
  <c r="D1235" i="2"/>
  <c r="B1235" i="2"/>
  <c r="A1235" i="2"/>
  <c r="E169" i="2"/>
  <c r="D169" i="2"/>
  <c r="C169" i="2"/>
  <c r="B169" i="2"/>
  <c r="A169" i="2"/>
  <c r="E233" i="2"/>
  <c r="L233" i="2" s="1"/>
  <c r="D233" i="2"/>
  <c r="B233" i="2"/>
  <c r="A233" i="2"/>
  <c r="E1173" i="2"/>
  <c r="L1173" i="2" s="1"/>
  <c r="D1173" i="2"/>
  <c r="C1173" i="2"/>
  <c r="B1173" i="2"/>
  <c r="A1173" i="2"/>
  <c r="E1551" i="2"/>
  <c r="L1551" i="2" s="1"/>
  <c r="D1551" i="2"/>
  <c r="C1551" i="2"/>
  <c r="B1551" i="2"/>
  <c r="A1551" i="2"/>
  <c r="E1755" i="2"/>
  <c r="L1755" i="2" s="1"/>
  <c r="O1755" i="2" s="1"/>
  <c r="D1755" i="2"/>
  <c r="B1755" i="2"/>
  <c r="A1755" i="2"/>
  <c r="E1695" i="2"/>
  <c r="L1695" i="2" s="1"/>
  <c r="O1695" i="2" s="1"/>
  <c r="D1695" i="2"/>
  <c r="C1695" i="2"/>
  <c r="B1695" i="2"/>
  <c r="A1695" i="2"/>
  <c r="E1516" i="2"/>
  <c r="L1516" i="2" s="1"/>
  <c r="D1516" i="2"/>
  <c r="C1516" i="2"/>
  <c r="B1516" i="2"/>
  <c r="A1516" i="2"/>
  <c r="E1356" i="2"/>
  <c r="L1356" i="2" s="1"/>
  <c r="D1356" i="2"/>
  <c r="B1356" i="2"/>
  <c r="A1356" i="2"/>
  <c r="E1571" i="2"/>
  <c r="L1571" i="2" s="1"/>
  <c r="O1571" i="2" s="1"/>
  <c r="D1571" i="2"/>
  <c r="B1571" i="2"/>
  <c r="A1571" i="2"/>
  <c r="E1652" i="2"/>
  <c r="L1652" i="2" s="1"/>
  <c r="D1652" i="2"/>
  <c r="B1652" i="2"/>
  <c r="A1652" i="2"/>
  <c r="E1768" i="2"/>
  <c r="D1768" i="2"/>
  <c r="C1768" i="2"/>
  <c r="B1768" i="2"/>
  <c r="A1768" i="2"/>
  <c r="E1636" i="2"/>
  <c r="D1636" i="2"/>
  <c r="C1636" i="2"/>
  <c r="B1636" i="2"/>
  <c r="A1636" i="2"/>
  <c r="E1146" i="2"/>
  <c r="L1146" i="2" s="1"/>
  <c r="D1146" i="2"/>
  <c r="B1146" i="2"/>
  <c r="A1146" i="2"/>
  <c r="E443" i="2"/>
  <c r="L443" i="2" s="1"/>
  <c r="O443" i="2" s="1"/>
  <c r="D443" i="2"/>
  <c r="B443" i="2"/>
  <c r="A443" i="2"/>
  <c r="E471" i="2"/>
  <c r="L471" i="2" s="1"/>
  <c r="D471" i="2"/>
  <c r="B471" i="2"/>
  <c r="A471" i="2"/>
  <c r="E1145" i="2"/>
  <c r="L1145" i="2" s="1"/>
  <c r="O1145" i="2" s="1"/>
  <c r="D1145" i="2"/>
  <c r="B1145" i="2"/>
  <c r="A1145" i="2"/>
  <c r="E707" i="2"/>
  <c r="L707" i="2" s="1"/>
  <c r="D707" i="2"/>
  <c r="C707" i="2"/>
  <c r="B707" i="2"/>
  <c r="A707" i="2"/>
  <c r="E1293" i="2"/>
  <c r="L1293" i="2" s="1"/>
  <c r="D1293" i="2"/>
  <c r="B1293" i="2"/>
  <c r="A1293" i="2"/>
  <c r="E1511" i="2"/>
  <c r="D1511" i="2"/>
  <c r="B1511" i="2"/>
  <c r="A1511" i="2"/>
  <c r="E1292" i="2"/>
  <c r="L1292" i="2" s="1"/>
  <c r="D1292" i="2"/>
  <c r="B1292" i="2"/>
  <c r="A1292" i="2"/>
  <c r="E1169" i="2"/>
  <c r="D1169" i="2"/>
  <c r="C1169" i="2"/>
  <c r="B1169" i="2"/>
  <c r="A1169" i="2"/>
  <c r="E1018" i="2"/>
  <c r="L1018" i="2" s="1"/>
  <c r="D1018" i="2"/>
  <c r="C1018" i="2"/>
  <c r="B1018" i="2"/>
  <c r="A1018" i="2"/>
  <c r="E1475" i="2"/>
  <c r="L1475" i="2" s="1"/>
  <c r="D1475" i="2"/>
  <c r="B1475" i="2"/>
  <c r="A1475" i="2"/>
  <c r="E667" i="2"/>
  <c r="L667" i="2" s="1"/>
  <c r="O667" i="2" s="1"/>
  <c r="D667" i="2"/>
  <c r="C667" i="2"/>
  <c r="B667" i="2"/>
  <c r="A667" i="2"/>
  <c r="E1694" i="2"/>
  <c r="L1694" i="2" s="1"/>
  <c r="O1694" i="2" s="1"/>
  <c r="D1694" i="2"/>
  <c r="C1694" i="2"/>
  <c r="B1694" i="2"/>
  <c r="A1694" i="2"/>
  <c r="E1398" i="2"/>
  <c r="L1398" i="2" s="1"/>
  <c r="O1398" i="2" s="1"/>
  <c r="D1398" i="2"/>
  <c r="C1398" i="2"/>
  <c r="B1398" i="2"/>
  <c r="A1398" i="2"/>
  <c r="E934" i="2"/>
  <c r="L934" i="2" s="1"/>
  <c r="O934" i="2" s="1"/>
  <c r="D934" i="2"/>
  <c r="C934" i="2"/>
  <c r="B934" i="2"/>
  <c r="A934" i="2"/>
  <c r="E1133" i="2"/>
  <c r="L1133" i="2" s="1"/>
  <c r="D1133" i="2"/>
  <c r="C1133" i="2"/>
  <c r="B1133" i="2"/>
  <c r="A1133" i="2"/>
  <c r="E1163" i="2"/>
  <c r="D1163" i="2"/>
  <c r="B1163" i="2"/>
  <c r="A1163" i="2"/>
  <c r="E1784" i="2"/>
  <c r="L1784" i="2" s="1"/>
  <c r="D1784" i="2"/>
  <c r="B1784" i="2"/>
  <c r="A1784" i="2"/>
  <c r="E1635" i="2"/>
  <c r="D1635" i="2"/>
  <c r="C1635" i="2"/>
  <c r="B1635" i="2"/>
  <c r="A1635" i="2"/>
  <c r="E1230" i="2"/>
  <c r="D1230" i="2"/>
  <c r="C1230" i="2"/>
  <c r="B1230" i="2"/>
  <c r="A1230" i="2"/>
  <c r="E960" i="2"/>
  <c r="L960" i="2" s="1"/>
  <c r="D960" i="2"/>
  <c r="C960" i="2"/>
  <c r="B960" i="2"/>
  <c r="A960" i="2"/>
  <c r="E706" i="2"/>
  <c r="L706" i="2" s="1"/>
  <c r="O706" i="2" s="1"/>
  <c r="D706" i="2"/>
  <c r="C706" i="2"/>
  <c r="B706" i="2"/>
  <c r="A706" i="2"/>
  <c r="E459" i="2"/>
  <c r="D459" i="2"/>
  <c r="C459" i="2"/>
  <c r="B459" i="2"/>
  <c r="A459" i="2"/>
  <c r="E882" i="2"/>
  <c r="D882" i="2"/>
  <c r="B882" i="2"/>
  <c r="A882" i="2"/>
  <c r="E330" i="2"/>
  <c r="L330" i="2" s="1"/>
  <c r="O330" i="2" s="1"/>
  <c r="D330" i="2"/>
  <c r="C330" i="2"/>
  <c r="B330" i="2"/>
  <c r="A330" i="2"/>
  <c r="E1436" i="2"/>
  <c r="L1436" i="2" s="1"/>
  <c r="D1436" i="2"/>
  <c r="C1436" i="2"/>
  <c r="B1436" i="2"/>
  <c r="A1436" i="2"/>
  <c r="E897" i="2"/>
  <c r="L897" i="2" s="1"/>
  <c r="D897" i="2"/>
  <c r="B897" i="2"/>
  <c r="A897" i="2"/>
  <c r="E467" i="2"/>
  <c r="L467" i="2" s="1"/>
  <c r="D467" i="2"/>
  <c r="C467" i="2"/>
  <c r="B467" i="2"/>
  <c r="A467" i="2"/>
  <c r="E1142" i="2"/>
  <c r="L1142" i="2" s="1"/>
  <c r="D1142" i="2"/>
  <c r="C1142" i="2"/>
  <c r="B1142" i="2"/>
  <c r="A1142" i="2"/>
  <c r="E757" i="2"/>
  <c r="L757" i="2" s="1"/>
  <c r="D757" i="2"/>
  <c r="C757" i="2"/>
  <c r="B757" i="2"/>
  <c r="A757" i="2"/>
  <c r="E1367" i="2"/>
  <c r="L1367" i="2" s="1"/>
  <c r="O1367" i="2" s="1"/>
  <c r="D1367" i="2"/>
  <c r="C1367" i="2"/>
  <c r="B1367" i="2"/>
  <c r="A1367" i="2"/>
  <c r="E458" i="2"/>
  <c r="D458" i="2"/>
  <c r="C458" i="2"/>
  <c r="B458" i="2"/>
  <c r="A458" i="2"/>
  <c r="E574" i="2"/>
  <c r="L574" i="2" s="1"/>
  <c r="D574" i="2"/>
  <c r="C574" i="2"/>
  <c r="B574" i="2"/>
  <c r="A574" i="2"/>
  <c r="E756" i="2"/>
  <c r="L756" i="2" s="1"/>
  <c r="O756" i="2" s="1"/>
  <c r="D756" i="2"/>
  <c r="B756" i="2"/>
  <c r="A756" i="2"/>
  <c r="E1566" i="2"/>
  <c r="L1566" i="2" s="1"/>
  <c r="O1566" i="2" s="1"/>
  <c r="D1566" i="2"/>
  <c r="B1566" i="2"/>
  <c r="A1566" i="2"/>
  <c r="E1132" i="2"/>
  <c r="L1132" i="2" s="1"/>
  <c r="D1132" i="2"/>
  <c r="C1132" i="2"/>
  <c r="B1132" i="2"/>
  <c r="A1132" i="2"/>
  <c r="E1291" i="2"/>
  <c r="L1291" i="2" s="1"/>
  <c r="O1291" i="2" s="1"/>
  <c r="D1291" i="2"/>
  <c r="B1291" i="2"/>
  <c r="A1291" i="2"/>
  <c r="E1688" i="2"/>
  <c r="L1688" i="2" s="1"/>
  <c r="D1688" i="2"/>
  <c r="B1688" i="2"/>
  <c r="A1688" i="2"/>
  <c r="E506" i="2"/>
  <c r="D506" i="2"/>
  <c r="B506" i="2"/>
  <c r="A506" i="2"/>
  <c r="E1045" i="2"/>
  <c r="L1045" i="2" s="1"/>
  <c r="D1045" i="2"/>
  <c r="B1045" i="2"/>
  <c r="A1045" i="2"/>
  <c r="E1769" i="2"/>
  <c r="L1769" i="2" s="1"/>
  <c r="D1769" i="2"/>
  <c r="C1769" i="2"/>
  <c r="B1769" i="2"/>
  <c r="A1769" i="2"/>
  <c r="E755" i="2"/>
  <c r="L755" i="2" s="1"/>
  <c r="D755" i="2"/>
  <c r="B755" i="2"/>
  <c r="A755" i="2"/>
  <c r="E705" i="2"/>
  <c r="L705" i="2" s="1"/>
  <c r="O705" i="2" s="1"/>
  <c r="D705" i="2"/>
  <c r="B705" i="2"/>
  <c r="A705" i="2"/>
  <c r="E826" i="2"/>
  <c r="L826" i="2" s="1"/>
  <c r="D826" i="2"/>
  <c r="B826" i="2"/>
  <c r="A826" i="2"/>
  <c r="E1265" i="2"/>
  <c r="L1265" i="2" s="1"/>
  <c r="O1265" i="2" s="1"/>
  <c r="D1265" i="2"/>
  <c r="C1265" i="2"/>
  <c r="B1265" i="2"/>
  <c r="A1265" i="2"/>
  <c r="E174" i="2"/>
  <c r="D174" i="2"/>
  <c r="B174" i="2"/>
  <c r="A174" i="2"/>
  <c r="E704" i="2"/>
  <c r="L704" i="2" s="1"/>
  <c r="O704" i="2" s="1"/>
  <c r="D704" i="2"/>
  <c r="B704" i="2"/>
  <c r="A704" i="2"/>
  <c r="E1518" i="2"/>
  <c r="L1518" i="2" s="1"/>
  <c r="O1518" i="2" s="1"/>
  <c r="D1518" i="2"/>
  <c r="C1518" i="2"/>
  <c r="B1518" i="2"/>
  <c r="A1518" i="2"/>
  <c r="E754" i="2"/>
  <c r="L754" i="2" s="1"/>
  <c r="O754" i="2" s="1"/>
  <c r="D754" i="2"/>
  <c r="B754" i="2"/>
  <c r="A754" i="2"/>
  <c r="E1192" i="2"/>
  <c r="L1192" i="2" s="1"/>
  <c r="D1192" i="2"/>
  <c r="B1192" i="2"/>
  <c r="A1192" i="2"/>
  <c r="E137" i="2"/>
  <c r="L137" i="2" s="1"/>
  <c r="O137" i="2" s="1"/>
  <c r="D137" i="2"/>
  <c r="C137" i="2"/>
  <c r="B137" i="2"/>
  <c r="A137" i="2"/>
  <c r="E533" i="2"/>
  <c r="L533" i="2" s="1"/>
  <c r="O533" i="2" s="1"/>
  <c r="D533" i="2"/>
  <c r="C533" i="2"/>
  <c r="B533" i="2"/>
  <c r="A533" i="2"/>
  <c r="E1044" i="2"/>
  <c r="L1044" i="2" s="1"/>
  <c r="D1044" i="2"/>
  <c r="B1044" i="2"/>
  <c r="A1044" i="2"/>
  <c r="E140" i="2"/>
  <c r="L140" i="2" s="1"/>
  <c r="D140" i="2"/>
  <c r="B140" i="2"/>
  <c r="A140" i="2"/>
  <c r="E1779" i="2"/>
  <c r="D1779" i="2"/>
  <c r="C1779" i="2"/>
  <c r="B1779" i="2"/>
  <c r="A1779" i="2"/>
  <c r="E1313" i="2"/>
  <c r="D1313" i="2"/>
  <c r="B1313" i="2"/>
  <c r="A1313" i="2"/>
  <c r="E1526" i="2"/>
  <c r="L1526" i="2" s="1"/>
  <c r="D1526" i="2"/>
  <c r="B1526" i="2"/>
  <c r="A1526" i="2"/>
  <c r="E1525" i="2"/>
  <c r="L1525" i="2" s="1"/>
  <c r="D1525" i="2"/>
  <c r="B1525" i="2"/>
  <c r="A1525" i="2"/>
  <c r="E1131" i="2"/>
  <c r="L1131" i="2" s="1"/>
  <c r="D1131" i="2"/>
  <c r="C1131" i="2"/>
  <c r="B1131" i="2"/>
  <c r="A1131" i="2"/>
  <c r="E410" i="2"/>
  <c r="L410" i="2" s="1"/>
  <c r="O410" i="2" s="1"/>
  <c r="D410" i="2"/>
  <c r="C410" i="2"/>
  <c r="B410" i="2"/>
  <c r="A410" i="2"/>
  <c r="E703" i="2"/>
  <c r="L703" i="2" s="1"/>
  <c r="D703" i="2"/>
  <c r="B703" i="2"/>
  <c r="A703" i="2"/>
  <c r="E636" i="2"/>
  <c r="L636" i="2" s="1"/>
  <c r="O636" i="2" s="1"/>
  <c r="D636" i="2"/>
  <c r="C636" i="2"/>
  <c r="B636" i="2"/>
  <c r="A636" i="2"/>
  <c r="E1725" i="2"/>
  <c r="L1725" i="2" s="1"/>
  <c r="D1725" i="2"/>
  <c r="B1725" i="2"/>
  <c r="A1725" i="2"/>
  <c r="E1496" i="2"/>
  <c r="L1496" i="2" s="1"/>
  <c r="D1496" i="2"/>
  <c r="C1496" i="2"/>
  <c r="B1496" i="2"/>
  <c r="A1496" i="2"/>
  <c r="E864" i="2"/>
  <c r="L864" i="2" s="1"/>
  <c r="O864" i="2" s="1"/>
  <c r="D864" i="2"/>
  <c r="C864" i="2"/>
  <c r="B864" i="2"/>
  <c r="A864" i="2"/>
  <c r="E1371" i="2"/>
  <c r="L1371" i="2" s="1"/>
  <c r="O1371" i="2" s="1"/>
  <c r="D1371" i="2"/>
  <c r="B1371" i="2"/>
  <c r="A1371" i="2"/>
  <c r="E1043" i="2"/>
  <c r="L1043" i="2" s="1"/>
  <c r="D1043" i="2"/>
  <c r="B1043" i="2"/>
  <c r="A1043" i="2"/>
  <c r="E442" i="2"/>
  <c r="L442" i="2" s="1"/>
  <c r="O442" i="2" s="1"/>
  <c r="D442" i="2"/>
  <c r="B442" i="2"/>
  <c r="A442" i="2"/>
  <c r="E929" i="2"/>
  <c r="L929" i="2" s="1"/>
  <c r="O929" i="2" s="1"/>
  <c r="D929" i="2"/>
  <c r="B929" i="2"/>
  <c r="A929" i="2"/>
  <c r="E1181" i="2"/>
  <c r="D1181" i="2"/>
  <c r="B1181" i="2"/>
  <c r="A1181" i="2"/>
  <c r="E1744" i="2"/>
  <c r="L1744" i="2" s="1"/>
  <c r="O1744" i="2" s="1"/>
  <c r="D1744" i="2"/>
  <c r="B1744" i="2"/>
  <c r="A1744" i="2"/>
  <c r="E329" i="2"/>
  <c r="L329" i="2" s="1"/>
  <c r="D329" i="2"/>
  <c r="B329" i="2"/>
  <c r="A329" i="2"/>
  <c r="E1281" i="2"/>
  <c r="L1281" i="2" s="1"/>
  <c r="O1281" i="2" s="1"/>
  <c r="D1281" i="2"/>
  <c r="C1281" i="2"/>
  <c r="B1281" i="2"/>
  <c r="A1281" i="2"/>
  <c r="E1687" i="2"/>
  <c r="L1687" i="2" s="1"/>
  <c r="D1687" i="2"/>
  <c r="C1687" i="2"/>
  <c r="B1687" i="2"/>
  <c r="A1687" i="2"/>
  <c r="E1094" i="2"/>
  <c r="L1094" i="2" s="1"/>
  <c r="O1094" i="2" s="1"/>
  <c r="D1094" i="2"/>
  <c r="C1094" i="2"/>
  <c r="B1094" i="2"/>
  <c r="A1094" i="2"/>
  <c r="E863" i="2"/>
  <c r="L863" i="2" s="1"/>
  <c r="O863" i="2" s="1"/>
  <c r="D863" i="2"/>
  <c r="C863" i="2"/>
  <c r="B863" i="2"/>
  <c r="A863" i="2"/>
  <c r="E702" i="2"/>
  <c r="L702" i="2" s="1"/>
  <c r="D702" i="2"/>
  <c r="C702" i="2"/>
  <c r="B702" i="2"/>
  <c r="A702" i="2"/>
  <c r="E1614" i="2"/>
  <c r="L1614" i="2" s="1"/>
  <c r="O1614" i="2" s="1"/>
  <c r="D1614" i="2"/>
  <c r="C1614" i="2"/>
  <c r="B1614" i="2"/>
  <c r="A1614" i="2"/>
  <c r="E532" i="2"/>
  <c r="L532" i="2" s="1"/>
  <c r="O532" i="2" s="1"/>
  <c r="D532" i="2"/>
  <c r="C532" i="2"/>
  <c r="B532" i="2"/>
  <c r="A532" i="2"/>
  <c r="E1449" i="2"/>
  <c r="D1449" i="2"/>
  <c r="B1449" i="2"/>
  <c r="A1449" i="2"/>
  <c r="E1182" i="2"/>
  <c r="L1182" i="2" s="1"/>
  <c r="D1182" i="2"/>
  <c r="B1182" i="2"/>
  <c r="A1182" i="2"/>
  <c r="E1355" i="2"/>
  <c r="L1355" i="2" s="1"/>
  <c r="D1355" i="2"/>
  <c r="B1355" i="2"/>
  <c r="A1355" i="2"/>
  <c r="E1613" i="2"/>
  <c r="L1613" i="2" s="1"/>
  <c r="O1613" i="2" s="1"/>
  <c r="D1613" i="2"/>
  <c r="C1613" i="2"/>
  <c r="B1613" i="2"/>
  <c r="A1613" i="2"/>
  <c r="E1276" i="2"/>
  <c r="L1276" i="2" s="1"/>
  <c r="O1276" i="2" s="1"/>
  <c r="D1276" i="2"/>
  <c r="C1276" i="2"/>
  <c r="B1276" i="2"/>
  <c r="A1276" i="2"/>
  <c r="E950" i="2"/>
  <c r="L950" i="2" s="1"/>
  <c r="D950" i="2"/>
  <c r="B950" i="2"/>
  <c r="A950" i="2"/>
  <c r="E1414" i="2"/>
  <c r="L1414" i="2" s="1"/>
  <c r="O1414" i="2" s="1"/>
  <c r="D1414" i="2"/>
  <c r="B1414" i="2"/>
  <c r="A1414" i="2"/>
  <c r="E350" i="2"/>
  <c r="L350" i="2" s="1"/>
  <c r="O350" i="2" s="1"/>
  <c r="D350" i="2"/>
  <c r="B350" i="2"/>
  <c r="A350" i="2"/>
  <c r="E1684" i="2"/>
  <c r="L1684" i="2" s="1"/>
  <c r="O1684" i="2" s="1"/>
  <c r="D1684" i="2"/>
  <c r="C1684" i="2"/>
  <c r="B1684" i="2"/>
  <c r="A1684" i="2"/>
  <c r="E753" i="2"/>
  <c r="L753" i="2" s="1"/>
  <c r="D753" i="2"/>
  <c r="B753" i="2"/>
  <c r="A753" i="2"/>
  <c r="E784" i="2"/>
  <c r="D784" i="2"/>
  <c r="C784" i="2"/>
  <c r="B784" i="2"/>
  <c r="A784" i="2"/>
  <c r="E457" i="2"/>
  <c r="D457" i="2"/>
  <c r="C457" i="2"/>
  <c r="B457" i="2"/>
  <c r="A457" i="2"/>
  <c r="E949" i="2"/>
  <c r="L949" i="2" s="1"/>
  <c r="D949" i="2"/>
  <c r="B949" i="2"/>
  <c r="A949" i="2"/>
  <c r="E573" i="2"/>
  <c r="L573" i="2" s="1"/>
  <c r="D573" i="2"/>
  <c r="C573" i="2"/>
  <c r="B573" i="2"/>
  <c r="A573" i="2"/>
  <c r="E249" i="2"/>
  <c r="L249" i="2" s="1"/>
  <c r="O249" i="2" s="1"/>
  <c r="D249" i="2"/>
  <c r="B249" i="2"/>
  <c r="A249" i="2"/>
  <c r="E1612" i="2"/>
  <c r="L1612" i="2" s="1"/>
  <c r="O1612" i="2" s="1"/>
  <c r="D1612" i="2"/>
  <c r="C1612" i="2"/>
  <c r="B1612" i="2"/>
  <c r="A1612" i="2"/>
  <c r="E480" i="2"/>
  <c r="L480" i="2" s="1"/>
  <c r="O480" i="2" s="1"/>
  <c r="D480" i="2"/>
  <c r="B480" i="2"/>
  <c r="A480" i="2"/>
  <c r="E362" i="2"/>
  <c r="D362" i="2"/>
  <c r="C362" i="2"/>
  <c r="B362" i="2"/>
  <c r="A362" i="2"/>
  <c r="E179" i="2"/>
  <c r="L179" i="2" s="1"/>
  <c r="O179" i="2" s="1"/>
  <c r="D179" i="2"/>
  <c r="C179" i="2"/>
  <c r="B179" i="2"/>
  <c r="A179" i="2"/>
  <c r="E948" i="2"/>
  <c r="L948" i="2" s="1"/>
  <c r="D948" i="2"/>
  <c r="C948" i="2"/>
  <c r="B948" i="2"/>
  <c r="A948" i="2"/>
  <c r="E825" i="2"/>
  <c r="L825" i="2" s="1"/>
  <c r="O825" i="2" s="1"/>
  <c r="D825" i="2"/>
  <c r="B825" i="2"/>
  <c r="A825" i="2"/>
  <c r="E1351" i="2"/>
  <c r="L1351" i="2" s="1"/>
  <c r="O1351" i="2" s="1"/>
  <c r="D1351" i="2"/>
  <c r="C1351" i="2"/>
  <c r="B1351" i="2"/>
  <c r="A1351" i="2"/>
  <c r="E1070" i="2"/>
  <c r="L1070" i="2" s="1"/>
  <c r="D1070" i="2"/>
  <c r="C1070" i="2"/>
  <c r="B1070" i="2"/>
  <c r="A1070" i="2"/>
  <c r="E1093" i="2"/>
  <c r="L1093" i="2" s="1"/>
  <c r="O1093" i="2" s="1"/>
  <c r="D1093" i="2"/>
  <c r="B1093" i="2"/>
  <c r="A1093" i="2"/>
  <c r="E752" i="2"/>
  <c r="L752" i="2" s="1"/>
  <c r="D752" i="2"/>
  <c r="B752" i="2"/>
  <c r="A752" i="2"/>
  <c r="E1336" i="2"/>
  <c r="D1336" i="2"/>
  <c r="B1336" i="2"/>
  <c r="A1336" i="2"/>
  <c r="E793" i="2"/>
  <c r="L793" i="2" s="1"/>
  <c r="O793" i="2" s="1"/>
  <c r="D793" i="2"/>
  <c r="C793" i="2"/>
  <c r="B793" i="2"/>
  <c r="A793" i="2"/>
  <c r="E1130" i="2"/>
  <c r="L1130" i="2" s="1"/>
  <c r="D1130" i="2"/>
  <c r="C1130" i="2"/>
  <c r="B1130" i="2"/>
  <c r="A1130" i="2"/>
  <c r="E572" i="2"/>
  <c r="L572" i="2" s="1"/>
  <c r="O572" i="2" s="1"/>
  <c r="D572" i="2"/>
  <c r="C572" i="2"/>
  <c r="B572" i="2"/>
  <c r="A572" i="2"/>
  <c r="E1524" i="2"/>
  <c r="L1524" i="2" s="1"/>
  <c r="D1524" i="2"/>
  <c r="C1524" i="2"/>
  <c r="B1524" i="2"/>
  <c r="A1524" i="2"/>
  <c r="E1092" i="2"/>
  <c r="L1092" i="2" s="1"/>
  <c r="O1092" i="2" s="1"/>
  <c r="D1092" i="2"/>
  <c r="B1092" i="2"/>
  <c r="A1092" i="2"/>
  <c r="E1726" i="2"/>
  <c r="L1726" i="2" s="1"/>
  <c r="O1726" i="2" s="1"/>
  <c r="D1726" i="2"/>
  <c r="C1726" i="2"/>
  <c r="B1726" i="2"/>
  <c r="A1726" i="2"/>
  <c r="E1502" i="2"/>
  <c r="L1502" i="2" s="1"/>
  <c r="O1502" i="2" s="1"/>
  <c r="D1502" i="2"/>
  <c r="B1502" i="2"/>
  <c r="A1502" i="2"/>
  <c r="E1176" i="2"/>
  <c r="D1176" i="2"/>
  <c r="B1176" i="2"/>
  <c r="A1176" i="2"/>
  <c r="E472" i="2"/>
  <c r="L472" i="2" s="1"/>
  <c r="D472" i="2"/>
  <c r="C472" i="2"/>
  <c r="B472" i="2"/>
  <c r="A472" i="2"/>
  <c r="E933" i="2"/>
  <c r="L933" i="2" s="1"/>
  <c r="D933" i="2"/>
  <c r="C933" i="2"/>
  <c r="B933" i="2"/>
  <c r="A933" i="2"/>
  <c r="E349" i="2"/>
  <c r="L349" i="2" s="1"/>
  <c r="D349" i="2"/>
  <c r="B349" i="2"/>
  <c r="A349" i="2"/>
  <c r="E381" i="2"/>
  <c r="L381" i="2" s="1"/>
  <c r="O381" i="2" s="1"/>
  <c r="D381" i="2"/>
  <c r="C381" i="2"/>
  <c r="B381" i="2"/>
  <c r="A381" i="2"/>
  <c r="E186" i="2"/>
  <c r="L186" i="2" s="1"/>
  <c r="O186" i="2" s="1"/>
  <c r="D186" i="2"/>
  <c r="C186" i="2"/>
  <c r="B186" i="2"/>
  <c r="A186" i="2"/>
  <c r="E701" i="2"/>
  <c r="L701" i="2" s="1"/>
  <c r="O701" i="2" s="1"/>
  <c r="D701" i="2"/>
  <c r="C701" i="2"/>
  <c r="B701" i="2"/>
  <c r="A701" i="2"/>
  <c r="E165" i="2"/>
  <c r="L165" i="2" s="1"/>
  <c r="O165" i="2" s="1"/>
  <c r="D165" i="2"/>
  <c r="C165" i="2"/>
  <c r="B165" i="2"/>
  <c r="A165" i="2"/>
  <c r="E1735" i="2"/>
  <c r="L1735" i="2" s="1"/>
  <c r="D1735" i="2"/>
  <c r="B1735" i="2"/>
  <c r="A1735" i="2"/>
  <c r="E1139" i="2"/>
  <c r="L1139" i="2" s="1"/>
  <c r="O1139" i="2" s="1"/>
  <c r="D1139" i="2"/>
  <c r="B1139" i="2"/>
  <c r="A1139" i="2"/>
  <c r="E1217" i="2"/>
  <c r="L1217" i="2" s="1"/>
  <c r="D1217" i="2"/>
  <c r="C1217" i="2"/>
  <c r="B1217" i="2"/>
  <c r="A1217" i="2"/>
  <c r="E441" i="2"/>
  <c r="L441" i="2" s="1"/>
  <c r="O441" i="2" s="1"/>
  <c r="D441" i="2"/>
  <c r="C441" i="2"/>
  <c r="B441" i="2"/>
  <c r="A441" i="2"/>
  <c r="E806" i="2"/>
  <c r="L806" i="2" s="1"/>
  <c r="O806" i="2" s="1"/>
  <c r="D806" i="2"/>
  <c r="C806" i="2"/>
  <c r="B806" i="2"/>
  <c r="A806" i="2"/>
  <c r="E1534" i="2"/>
  <c r="L1534" i="2" s="1"/>
  <c r="O1534" i="2" s="1"/>
  <c r="D1534" i="2"/>
  <c r="B1534" i="2"/>
  <c r="A1534" i="2"/>
  <c r="E1736" i="2"/>
  <c r="L1736" i="2" s="1"/>
  <c r="D1736" i="2"/>
  <c r="C1736" i="2"/>
  <c r="B1736" i="2"/>
  <c r="A1736" i="2"/>
  <c r="E146" i="2"/>
  <c r="L146" i="2" s="1"/>
  <c r="D146" i="2"/>
  <c r="B146" i="2"/>
  <c r="A146" i="2"/>
  <c r="E1423" i="2"/>
  <c r="D1423" i="2"/>
  <c r="C1423" i="2"/>
  <c r="B1423" i="2"/>
  <c r="A1423" i="2"/>
  <c r="E989" i="2"/>
  <c r="L989" i="2" s="1"/>
  <c r="D989" i="2"/>
  <c r="C989" i="2"/>
  <c r="B989" i="2"/>
  <c r="A989" i="2"/>
  <c r="E959" i="2"/>
  <c r="L959" i="2" s="1"/>
  <c r="D959" i="2"/>
  <c r="B959" i="2"/>
  <c r="A959" i="2"/>
  <c r="E248" i="2"/>
  <c r="L248" i="2" s="1"/>
  <c r="O248" i="2" s="1"/>
  <c r="D248" i="2"/>
  <c r="B248" i="2"/>
  <c r="A248" i="2"/>
  <c r="E1017" i="2"/>
  <c r="L1017" i="2" s="1"/>
  <c r="D1017" i="2"/>
  <c r="B1017" i="2"/>
  <c r="A1017" i="2"/>
  <c r="E73" i="2"/>
  <c r="L73" i="2" s="1"/>
  <c r="O73" i="2" s="1"/>
  <c r="D73" i="2"/>
  <c r="B73" i="2"/>
  <c r="A73" i="2"/>
  <c r="E1360" i="2"/>
  <c r="L1360" i="2" s="1"/>
  <c r="O1360" i="2" s="1"/>
  <c r="D1360" i="2"/>
  <c r="B1360" i="2"/>
  <c r="A1360" i="2"/>
  <c r="E1564" i="2"/>
  <c r="L1564" i="2" s="1"/>
  <c r="D1564" i="2"/>
  <c r="B1564" i="2"/>
  <c r="A1564" i="2"/>
  <c r="E361" i="2"/>
  <c r="D361" i="2"/>
  <c r="C361" i="2"/>
  <c r="B361" i="2"/>
  <c r="A361" i="2"/>
  <c r="E1016" i="2"/>
  <c r="L1016" i="2" s="1"/>
  <c r="D1016" i="2"/>
  <c r="B1016" i="2"/>
  <c r="A1016" i="2"/>
  <c r="E1772" i="2"/>
  <c r="L1772" i="2" s="1"/>
  <c r="O1772" i="2" s="1"/>
  <c r="D1772" i="2"/>
  <c r="B1772" i="2"/>
  <c r="A1772" i="2"/>
  <c r="E193" i="2"/>
  <c r="L193" i="2" s="1"/>
  <c r="O193" i="2" s="1"/>
  <c r="D193" i="2"/>
  <c r="C193" i="2"/>
  <c r="B193" i="2"/>
  <c r="A193" i="2"/>
  <c r="E328" i="2"/>
  <c r="L328" i="2" s="1"/>
  <c r="O328" i="2" s="1"/>
  <c r="D328" i="2"/>
  <c r="B328" i="2"/>
  <c r="A328" i="2"/>
  <c r="E958" i="2"/>
  <c r="L958" i="2" s="1"/>
  <c r="D958" i="2"/>
  <c r="B958" i="2"/>
  <c r="A958" i="2"/>
  <c r="E603" i="2"/>
  <c r="D603" i="2"/>
  <c r="C603" i="2"/>
  <c r="B603" i="2"/>
  <c r="A603" i="2"/>
  <c r="E1002" i="2"/>
  <c r="L1002" i="2" s="1"/>
  <c r="D1002" i="2"/>
  <c r="C1002" i="2"/>
  <c r="B1002" i="2"/>
  <c r="A1002" i="2"/>
  <c r="E988" i="2"/>
  <c r="L988" i="2" s="1"/>
  <c r="O988" i="2" s="1"/>
  <c r="D988" i="2"/>
  <c r="C988" i="2"/>
  <c r="B988" i="2"/>
  <c r="A988" i="2"/>
  <c r="E1445" i="2"/>
  <c r="L1445" i="2" s="1"/>
  <c r="O1445" i="2" s="1"/>
  <c r="D1445" i="2"/>
  <c r="C1445" i="2"/>
  <c r="B1445" i="2"/>
  <c r="A1445" i="2"/>
  <c r="E1091" i="2"/>
  <c r="L1091" i="2" s="1"/>
  <c r="O1091" i="2" s="1"/>
  <c r="D1091" i="2"/>
  <c r="B1091" i="2"/>
  <c r="A1091" i="2"/>
  <c r="E1611" i="2"/>
  <c r="L1611" i="2" s="1"/>
  <c r="D1611" i="2"/>
  <c r="C1611" i="2"/>
  <c r="B1611" i="2"/>
  <c r="A1611" i="2"/>
  <c r="E595" i="2"/>
  <c r="D595" i="2"/>
  <c r="C595" i="2"/>
  <c r="B595" i="2"/>
  <c r="A595" i="2"/>
  <c r="E1410" i="2"/>
  <c r="D1410" i="2"/>
  <c r="C1410" i="2"/>
  <c r="B1410" i="2"/>
  <c r="A1410" i="2"/>
  <c r="E1216" i="2"/>
  <c r="L1216" i="2" s="1"/>
  <c r="D1216" i="2"/>
  <c r="C1216" i="2"/>
  <c r="B1216" i="2"/>
  <c r="A1216" i="2"/>
  <c r="E1413" i="2"/>
  <c r="L1413" i="2" s="1"/>
  <c r="O1413" i="2" s="1"/>
  <c r="D1413" i="2"/>
  <c r="B1413" i="2"/>
  <c r="A1413" i="2"/>
  <c r="E317" i="2"/>
  <c r="L317" i="2" s="1"/>
  <c r="O317" i="2" s="1"/>
  <c r="D317" i="2"/>
  <c r="C317" i="2"/>
  <c r="B317" i="2"/>
  <c r="A317" i="2"/>
  <c r="E677" i="2"/>
  <c r="L677" i="2" s="1"/>
  <c r="O677" i="2" s="1"/>
  <c r="D677" i="2"/>
  <c r="B677" i="2"/>
  <c r="A677" i="2"/>
  <c r="E1747" i="2"/>
  <c r="L1747" i="2" s="1"/>
  <c r="D1747" i="2"/>
  <c r="C1747" i="2"/>
  <c r="B1747" i="2"/>
  <c r="A1747" i="2"/>
  <c r="E1559" i="2"/>
  <c r="D1559" i="2"/>
  <c r="C1559" i="2"/>
  <c r="B1559" i="2"/>
  <c r="A1559" i="2"/>
  <c r="E200" i="2"/>
  <c r="D200" i="2"/>
  <c r="C200" i="2"/>
  <c r="B200" i="2"/>
  <c r="A200" i="2"/>
  <c r="E97" i="2"/>
  <c r="L97" i="2" s="1"/>
  <c r="D97" i="2"/>
  <c r="B97" i="2"/>
  <c r="A97" i="2"/>
  <c r="E1084" i="2"/>
  <c r="L1084" i="2" s="1"/>
  <c r="D1084" i="2"/>
  <c r="C1084" i="2"/>
  <c r="B1084" i="2"/>
  <c r="A1084" i="2"/>
  <c r="E1015" i="2"/>
  <c r="L1015" i="2" s="1"/>
  <c r="D1015" i="2"/>
  <c r="B1015" i="2"/>
  <c r="A1015" i="2"/>
  <c r="E1545" i="2"/>
  <c r="L1545" i="2" s="1"/>
  <c r="D1545" i="2"/>
  <c r="C1545" i="2"/>
  <c r="B1545" i="2"/>
  <c r="A1545" i="2"/>
  <c r="E1001" i="2"/>
  <c r="L1001" i="2" s="1"/>
  <c r="D1001" i="2"/>
  <c r="C1001" i="2"/>
  <c r="B1001" i="2"/>
  <c r="A1001" i="2"/>
  <c r="E1126" i="2"/>
  <c r="D1126" i="2"/>
  <c r="C1126" i="2"/>
  <c r="B1126" i="2"/>
  <c r="A1126" i="2"/>
  <c r="E1277" i="2"/>
  <c r="D1277" i="2"/>
  <c r="C1277" i="2"/>
  <c r="B1277" i="2"/>
  <c r="A1277" i="2"/>
  <c r="E440" i="2"/>
  <c r="L440" i="2" s="1"/>
  <c r="O440" i="2" s="1"/>
  <c r="D440" i="2"/>
  <c r="C440" i="2"/>
  <c r="B440" i="2"/>
  <c r="A440" i="2"/>
  <c r="E1783" i="2"/>
  <c r="L1783" i="2" s="1"/>
  <c r="D1783" i="2"/>
  <c r="C1783" i="2"/>
  <c r="B1783" i="2"/>
  <c r="A1783" i="2"/>
  <c r="E1074" i="2"/>
  <c r="D1074" i="2"/>
  <c r="B1074" i="2"/>
  <c r="A1074" i="2"/>
  <c r="E380" i="2"/>
  <c r="L380" i="2" s="1"/>
  <c r="O380" i="2" s="1"/>
  <c r="D380" i="2"/>
  <c r="C380" i="2"/>
  <c r="B380" i="2"/>
  <c r="A380" i="2"/>
  <c r="E1144" i="2"/>
  <c r="L1144" i="2" s="1"/>
  <c r="D1144" i="2"/>
  <c r="B1144" i="2"/>
  <c r="A1144" i="2"/>
  <c r="E1318" i="2"/>
  <c r="L1318" i="2" s="1"/>
  <c r="D1318" i="2"/>
  <c r="B1318" i="2"/>
  <c r="A1318" i="2"/>
  <c r="E1014" i="2"/>
  <c r="L1014" i="2" s="1"/>
  <c r="D1014" i="2"/>
  <c r="B1014" i="2"/>
  <c r="A1014" i="2"/>
  <c r="E1679" i="2"/>
  <c r="D1679" i="2"/>
  <c r="B1679" i="2"/>
  <c r="A1679" i="2"/>
  <c r="E1013" i="2"/>
  <c r="L1013" i="2" s="1"/>
  <c r="D1013" i="2"/>
  <c r="B1013" i="2"/>
  <c r="A1013" i="2"/>
  <c r="E1665" i="2"/>
  <c r="D1665" i="2"/>
  <c r="C1665" i="2"/>
  <c r="B1665" i="2"/>
  <c r="A1665" i="2"/>
  <c r="E602" i="2"/>
  <c r="D602" i="2"/>
  <c r="C602" i="2"/>
  <c r="B602" i="2"/>
  <c r="A602" i="2"/>
  <c r="E1705" i="2"/>
  <c r="D1705" i="2"/>
  <c r="B1705" i="2"/>
  <c r="A1705" i="2"/>
  <c r="E1191" i="2"/>
  <c r="L1191" i="2" s="1"/>
  <c r="D1191" i="2"/>
  <c r="B1191" i="2"/>
  <c r="A1191" i="2"/>
  <c r="E877" i="2"/>
  <c r="L877" i="2" s="1"/>
  <c r="O877" i="2" s="1"/>
  <c r="D877" i="2"/>
  <c r="C877" i="2"/>
  <c r="B877" i="2"/>
  <c r="A877" i="2"/>
  <c r="E1750" i="2"/>
  <c r="D1750" i="2"/>
  <c r="C1750" i="2"/>
  <c r="B1750" i="2"/>
  <c r="A1750" i="2"/>
  <c r="E1357" i="2"/>
  <c r="D1357" i="2"/>
  <c r="C1357" i="2"/>
  <c r="B1357" i="2"/>
  <c r="A1357" i="2"/>
  <c r="E957" i="2"/>
  <c r="L957" i="2" s="1"/>
  <c r="O957" i="2" s="1"/>
  <c r="D957" i="2"/>
  <c r="C957" i="2"/>
  <c r="B957" i="2"/>
  <c r="A957" i="2"/>
  <c r="E874" i="2"/>
  <c r="L874" i="2" s="1"/>
  <c r="O874" i="2" s="1"/>
  <c r="D874" i="2"/>
  <c r="B874" i="2"/>
  <c r="A874" i="2"/>
  <c r="E854" i="2"/>
  <c r="L854" i="2" s="1"/>
  <c r="O854" i="2" s="1"/>
  <c r="D854" i="2"/>
  <c r="C854" i="2"/>
  <c r="B854" i="2"/>
  <c r="A854" i="2"/>
  <c r="E439" i="2"/>
  <c r="L439" i="2" s="1"/>
  <c r="O439" i="2" s="1"/>
  <c r="D439" i="2"/>
  <c r="C439" i="2"/>
  <c r="B439" i="2"/>
  <c r="A439" i="2"/>
  <c r="E1634" i="2"/>
  <c r="D1634" i="2"/>
  <c r="C1634" i="2"/>
  <c r="B1634" i="2"/>
  <c r="A1634" i="2"/>
  <c r="E1553" i="2"/>
  <c r="L1553" i="2" s="1"/>
  <c r="D1553" i="2"/>
  <c r="C1553" i="2"/>
  <c r="B1553" i="2"/>
  <c r="A1553" i="2"/>
  <c r="E280" i="2"/>
  <c r="L280" i="2" s="1"/>
  <c r="D280" i="2"/>
  <c r="C280" i="2"/>
  <c r="B280" i="2"/>
  <c r="A280" i="2"/>
  <c r="E67" i="2"/>
  <c r="D67" i="2"/>
  <c r="B67" i="2"/>
  <c r="A67" i="2"/>
  <c r="E309" i="2"/>
  <c r="D309" i="2"/>
  <c r="C309" i="2"/>
  <c r="B309" i="2"/>
  <c r="A309" i="2"/>
  <c r="E1141" i="2"/>
  <c r="L1141" i="2" s="1"/>
  <c r="D1141" i="2"/>
  <c r="C1141" i="2"/>
  <c r="B1141" i="2"/>
  <c r="A1141" i="2"/>
  <c r="E1565" i="2"/>
  <c r="L1565" i="2" s="1"/>
  <c r="D1565" i="2"/>
  <c r="C1565" i="2"/>
  <c r="B1565" i="2"/>
  <c r="A1565" i="2"/>
  <c r="E279" i="2"/>
  <c r="L279" i="2" s="1"/>
  <c r="D279" i="2"/>
  <c r="C279" i="2"/>
  <c r="B279" i="2"/>
  <c r="A279" i="2"/>
  <c r="E896" i="2"/>
  <c r="L896" i="2" s="1"/>
  <c r="O896" i="2" s="1"/>
  <c r="D896" i="2"/>
  <c r="B896" i="2"/>
  <c r="A896" i="2"/>
  <c r="E1721" i="2"/>
  <c r="L1721" i="2" s="1"/>
  <c r="O1721" i="2" s="1"/>
  <c r="D1721" i="2"/>
  <c r="C1721" i="2"/>
  <c r="B1721" i="2"/>
  <c r="A1721" i="2"/>
  <c r="E1457" i="2"/>
  <c r="L1457" i="2" s="1"/>
  <c r="D1457" i="2"/>
  <c r="B1457" i="2"/>
  <c r="A1457" i="2"/>
  <c r="E1061" i="2"/>
  <c r="D1061" i="2"/>
  <c r="B1061" i="2"/>
  <c r="A1061" i="2"/>
  <c r="E956" i="2"/>
  <c r="L956" i="2" s="1"/>
  <c r="O956" i="2" s="1"/>
  <c r="D956" i="2"/>
  <c r="B956" i="2"/>
  <c r="A956" i="2"/>
  <c r="E1054" i="2"/>
  <c r="L1054" i="2" s="1"/>
  <c r="D1054" i="2"/>
  <c r="C1054" i="2"/>
  <c r="B1054" i="2"/>
  <c r="A1054" i="2"/>
  <c r="E1439" i="2"/>
  <c r="L1439" i="2" s="1"/>
  <c r="O1439" i="2" s="1"/>
  <c r="D1439" i="2"/>
  <c r="C1439" i="2"/>
  <c r="B1439" i="2"/>
  <c r="A1439" i="2"/>
  <c r="E1610" i="2"/>
  <c r="L1610" i="2" s="1"/>
  <c r="D1610" i="2"/>
  <c r="B1610" i="2"/>
  <c r="A1610" i="2"/>
  <c r="E824" i="2"/>
  <c r="L824" i="2" s="1"/>
  <c r="O824" i="2" s="1"/>
  <c r="D824" i="2"/>
  <c r="B824" i="2"/>
  <c r="A824" i="2"/>
  <c r="E1563" i="2"/>
  <c r="D1563" i="2"/>
  <c r="C1563" i="2"/>
  <c r="B1563" i="2"/>
  <c r="A1563" i="2"/>
  <c r="E1766" i="2"/>
  <c r="L1766" i="2" s="1"/>
  <c r="O1766" i="2" s="1"/>
  <c r="D1766" i="2"/>
  <c r="C1766" i="2"/>
  <c r="B1766" i="2"/>
  <c r="A1766" i="2"/>
  <c r="E1549" i="2"/>
  <c r="D1549" i="2"/>
  <c r="C1549" i="2"/>
  <c r="B1549" i="2"/>
  <c r="A1549" i="2"/>
  <c r="E601" i="2"/>
  <c r="D601" i="2"/>
  <c r="C601" i="2"/>
  <c r="B601" i="2"/>
  <c r="A601" i="2"/>
  <c r="E1558" i="2"/>
  <c r="D1558" i="2"/>
  <c r="C1558" i="2"/>
  <c r="B1558" i="2"/>
  <c r="A1558" i="2"/>
  <c r="E1362" i="2"/>
  <c r="D1362" i="2"/>
  <c r="B1362" i="2"/>
  <c r="A1362" i="2"/>
  <c r="E1686" i="2"/>
  <c r="L1686" i="2" s="1"/>
  <c r="D1686" i="2"/>
  <c r="C1686" i="2"/>
  <c r="B1686" i="2"/>
  <c r="A1686" i="2"/>
  <c r="E1493" i="2"/>
  <c r="D1493" i="2"/>
  <c r="C1493" i="2"/>
  <c r="B1493" i="2"/>
  <c r="A1493" i="2"/>
  <c r="E31" i="2"/>
  <c r="D31" i="2"/>
  <c r="B31" i="2"/>
  <c r="A31" i="2"/>
  <c r="E1678" i="2"/>
  <c r="D1678" i="2"/>
  <c r="C1678" i="2"/>
  <c r="B1678" i="2"/>
  <c r="A1678" i="2"/>
  <c r="E1722" i="2"/>
  <c r="L1722" i="2" s="1"/>
  <c r="O1722" i="2" s="1"/>
  <c r="D1722" i="2"/>
  <c r="C1722" i="2"/>
  <c r="B1722" i="2"/>
  <c r="A1722" i="2"/>
  <c r="E684" i="2"/>
  <c r="D684" i="2"/>
  <c r="C684" i="2"/>
  <c r="B684" i="2"/>
  <c r="A684" i="2"/>
  <c r="E1489" i="2"/>
  <c r="L1489" i="2" s="1"/>
  <c r="O1489" i="2" s="1"/>
  <c r="D1489" i="2"/>
  <c r="B1489" i="2"/>
  <c r="A1489" i="2"/>
  <c r="E881" i="2"/>
  <c r="D881" i="2"/>
  <c r="C881" i="2"/>
  <c r="B881" i="2"/>
  <c r="A881" i="2"/>
  <c r="E916" i="2"/>
  <c r="L916" i="2" s="1"/>
  <c r="O916" i="2" s="1"/>
  <c r="D916" i="2"/>
  <c r="C916" i="2"/>
  <c r="B916" i="2"/>
  <c r="A916" i="2"/>
  <c r="E316" i="2"/>
  <c r="L316" i="2" s="1"/>
  <c r="D316" i="2"/>
  <c r="C316" i="2"/>
  <c r="B316" i="2"/>
  <c r="A316" i="2"/>
  <c r="E531" i="2"/>
  <c r="L531" i="2" s="1"/>
  <c r="D531" i="2"/>
  <c r="B531" i="2"/>
  <c r="A531" i="2"/>
  <c r="E955" i="2"/>
  <c r="L955" i="2" s="1"/>
  <c r="D955" i="2"/>
  <c r="B955" i="2"/>
  <c r="A955" i="2"/>
  <c r="E823" i="2"/>
  <c r="L823" i="2" s="1"/>
  <c r="O823" i="2" s="1"/>
  <c r="D823" i="2"/>
  <c r="B823" i="2"/>
  <c r="A823" i="2"/>
  <c r="E1533" i="2"/>
  <c r="L1533" i="2" s="1"/>
  <c r="O1533" i="2" s="1"/>
  <c r="D1533" i="2"/>
  <c r="C1533" i="2"/>
  <c r="B1533" i="2"/>
  <c r="A1533" i="2"/>
  <c r="E1495" i="2"/>
  <c r="D1495" i="2"/>
  <c r="B1495" i="2"/>
  <c r="A1495" i="2"/>
  <c r="E1754" i="2"/>
  <c r="L1754" i="2" s="1"/>
  <c r="D1754" i="2"/>
  <c r="B1754" i="2"/>
  <c r="A1754" i="2"/>
  <c r="E683" i="2"/>
  <c r="D683" i="2"/>
  <c r="C683" i="2"/>
  <c r="B683" i="2"/>
  <c r="A683" i="2"/>
  <c r="E1112" i="2"/>
  <c r="D1112" i="2"/>
  <c r="B1112" i="2"/>
  <c r="A1112" i="2"/>
  <c r="E728" i="2"/>
  <c r="L728" i="2" s="1"/>
  <c r="O728" i="2" s="1"/>
  <c r="D728" i="2"/>
  <c r="C728" i="2"/>
  <c r="B728" i="2"/>
  <c r="A728" i="2"/>
  <c r="E792" i="2"/>
  <c r="L792" i="2" s="1"/>
  <c r="D792" i="2"/>
  <c r="C792" i="2"/>
  <c r="B792" i="2"/>
  <c r="A792" i="2"/>
  <c r="E1090" i="2"/>
  <c r="L1090" i="2" s="1"/>
  <c r="D1090" i="2"/>
  <c r="C1090" i="2"/>
  <c r="B1090" i="2"/>
  <c r="A1090" i="2"/>
  <c r="E1432" i="2"/>
  <c r="L1432" i="2" s="1"/>
  <c r="D1432" i="2"/>
  <c r="C1432" i="2"/>
  <c r="B1432" i="2"/>
  <c r="A1432" i="2"/>
  <c r="E1532" i="2"/>
  <c r="L1532" i="2" s="1"/>
  <c r="O1532" i="2" s="1"/>
  <c r="D1532" i="2"/>
  <c r="C1532" i="2"/>
  <c r="B1532" i="2"/>
  <c r="A1532" i="2"/>
  <c r="E635" i="2"/>
  <c r="L635" i="2" s="1"/>
  <c r="D635" i="2"/>
  <c r="B635" i="2"/>
  <c r="A635" i="2"/>
  <c r="E1170" i="2"/>
  <c r="D1170" i="2"/>
  <c r="B1170" i="2"/>
  <c r="A1170" i="2"/>
  <c r="E1562" i="2"/>
  <c r="D1562" i="2"/>
  <c r="C1562" i="2"/>
  <c r="B1562" i="2"/>
  <c r="A1562" i="2"/>
  <c r="E208" i="2"/>
  <c r="L208" i="2" s="1"/>
  <c r="O208" i="2" s="1"/>
  <c r="D208" i="2"/>
  <c r="B208" i="2"/>
  <c r="A208" i="2"/>
  <c r="E1328" i="2"/>
  <c r="L1328" i="2" s="1"/>
  <c r="O1328" i="2" s="1"/>
  <c r="D1328" i="2"/>
  <c r="C1328" i="2"/>
  <c r="B1328" i="2"/>
  <c r="A1328" i="2"/>
  <c r="E1431" i="2"/>
  <c r="L1431" i="2" s="1"/>
  <c r="D1431" i="2"/>
  <c r="C1431" i="2"/>
  <c r="B1431" i="2"/>
  <c r="A1431" i="2"/>
  <c r="E315" i="2"/>
  <c r="L315" i="2" s="1"/>
  <c r="O315" i="2" s="1"/>
  <c r="D315" i="2"/>
  <c r="C315" i="2"/>
  <c r="B315" i="2"/>
  <c r="A315" i="2"/>
  <c r="E390" i="2"/>
  <c r="L390" i="2" s="1"/>
  <c r="O390" i="2" s="1"/>
  <c r="D390" i="2"/>
  <c r="B390" i="2"/>
  <c r="A390" i="2"/>
  <c r="E822" i="2"/>
  <c r="L822" i="2" s="1"/>
  <c r="D822" i="2"/>
  <c r="B822" i="2"/>
  <c r="A822" i="2"/>
  <c r="E1012" i="2"/>
  <c r="L1012" i="2" s="1"/>
  <c r="D1012" i="2"/>
  <c r="B1012" i="2"/>
  <c r="A1012" i="2"/>
  <c r="E379" i="2"/>
  <c r="L379" i="2" s="1"/>
  <c r="D379" i="2"/>
  <c r="C379" i="2"/>
  <c r="B379" i="2"/>
  <c r="A379" i="2"/>
  <c r="E378" i="2"/>
  <c r="L378" i="2" s="1"/>
  <c r="O378" i="2" s="1"/>
  <c r="D378" i="2"/>
  <c r="C378" i="2"/>
  <c r="B378" i="2"/>
  <c r="A378" i="2"/>
  <c r="E676" i="2"/>
  <c r="L676" i="2" s="1"/>
  <c r="O676" i="2" s="1"/>
  <c r="D676" i="2"/>
  <c r="C676" i="2"/>
  <c r="B676" i="2"/>
  <c r="A676" i="2"/>
  <c r="E1234" i="2"/>
  <c r="L1234" i="2" s="1"/>
  <c r="O1234" i="2" s="1"/>
  <c r="D1234" i="2"/>
  <c r="C1234" i="2"/>
  <c r="B1234" i="2"/>
  <c r="A1234" i="2"/>
  <c r="E514" i="2"/>
  <c r="D514" i="2"/>
  <c r="C514" i="2"/>
  <c r="B514" i="2"/>
  <c r="A514" i="2"/>
  <c r="E1335" i="2"/>
  <c r="D1335" i="2"/>
  <c r="B1335" i="2"/>
  <c r="A1335" i="2"/>
  <c r="E1633" i="2"/>
  <c r="D1633" i="2"/>
  <c r="C1633" i="2"/>
  <c r="B1633" i="2"/>
  <c r="A1633" i="2"/>
  <c r="E821" i="2"/>
  <c r="L821" i="2" s="1"/>
  <c r="D821" i="2"/>
  <c r="B821" i="2"/>
  <c r="A821" i="2"/>
  <c r="E1745" i="2"/>
  <c r="L1745" i="2" s="1"/>
  <c r="O1745" i="2" s="1"/>
  <c r="D1745" i="2"/>
  <c r="C1745" i="2"/>
  <c r="B1745" i="2"/>
  <c r="A1745" i="2"/>
  <c r="E1083" i="2"/>
  <c r="L1083" i="2" s="1"/>
  <c r="O1083" i="2" s="1"/>
  <c r="D1083" i="2"/>
  <c r="C1083" i="2"/>
  <c r="B1083" i="2"/>
  <c r="A1083" i="2"/>
  <c r="E751" i="2"/>
  <c r="L751" i="2" s="1"/>
  <c r="O751" i="2" s="1"/>
  <c r="D751" i="2"/>
  <c r="B751" i="2"/>
  <c r="A751" i="2"/>
  <c r="E682" i="2"/>
  <c r="D682" i="2"/>
  <c r="C682" i="2"/>
  <c r="B682" i="2"/>
  <c r="A682" i="2"/>
  <c r="E1172" i="2"/>
  <c r="L1172" i="2" s="1"/>
  <c r="D1172" i="2"/>
  <c r="C1172" i="2"/>
  <c r="B1172" i="2"/>
  <c r="A1172" i="2"/>
  <c r="E1312" i="2"/>
  <c r="D1312" i="2"/>
  <c r="C1312" i="2"/>
  <c r="B1312" i="2"/>
  <c r="A1312" i="2"/>
  <c r="E1242" i="2"/>
  <c r="L1242" i="2" s="1"/>
  <c r="D1242" i="2"/>
  <c r="B1242" i="2"/>
  <c r="A1242" i="2"/>
  <c r="E1693" i="2"/>
  <c r="L1693" i="2" s="1"/>
  <c r="D1693" i="2"/>
  <c r="B1693" i="2"/>
  <c r="A1693" i="2"/>
  <c r="E1501" i="2"/>
  <c r="L1501" i="2" s="1"/>
  <c r="D1501" i="2"/>
  <c r="C1501" i="2"/>
  <c r="B1501" i="2"/>
  <c r="A1501" i="2"/>
  <c r="E820" i="2"/>
  <c r="L820" i="2" s="1"/>
  <c r="O820" i="2" s="1"/>
  <c r="D820" i="2"/>
  <c r="C820" i="2"/>
  <c r="B820" i="2"/>
  <c r="A820" i="2"/>
  <c r="E1531" i="2"/>
  <c r="L1531" i="2" s="1"/>
  <c r="D1531" i="2"/>
  <c r="C1531" i="2"/>
  <c r="B1531" i="2"/>
  <c r="A1531" i="2"/>
  <c r="E1300" i="2"/>
  <c r="L1300" i="2" s="1"/>
  <c r="O1300" i="2" s="1"/>
  <c r="D1300" i="2"/>
  <c r="B1300" i="2"/>
  <c r="A1300" i="2"/>
  <c r="E634" i="2"/>
  <c r="L634" i="2" s="1"/>
  <c r="D634" i="2"/>
  <c r="C634" i="2"/>
  <c r="B634" i="2"/>
  <c r="A634" i="2"/>
  <c r="E1403" i="2"/>
  <c r="D1403" i="2"/>
  <c r="B1403" i="2"/>
  <c r="A1403" i="2"/>
  <c r="E1051" i="2"/>
  <c r="D1051" i="2"/>
  <c r="B1051" i="2"/>
  <c r="A1051" i="2"/>
  <c r="E409" i="2"/>
  <c r="L409" i="2" s="1"/>
  <c r="O409" i="2" s="1"/>
  <c r="D409" i="2"/>
  <c r="B409" i="2"/>
  <c r="A409" i="2"/>
  <c r="E1734" i="2"/>
  <c r="L1734" i="2" s="1"/>
  <c r="D1734" i="2"/>
  <c r="C1734" i="2"/>
  <c r="B1734" i="2"/>
  <c r="A1734" i="2"/>
  <c r="E664" i="2"/>
  <c r="L664" i="2" s="1"/>
  <c r="D664" i="2"/>
  <c r="C664" i="2"/>
  <c r="B664" i="2"/>
  <c r="A664" i="2"/>
  <c r="E954" i="2"/>
  <c r="L954" i="2" s="1"/>
  <c r="O954" i="2" s="1"/>
  <c r="D954" i="2"/>
  <c r="C954" i="2"/>
  <c r="B954" i="2"/>
  <c r="A954" i="2"/>
  <c r="E1115" i="2"/>
  <c r="L1115" i="2" s="1"/>
  <c r="O1115" i="2" s="1"/>
  <c r="D1115" i="2"/>
  <c r="C1115" i="2"/>
  <c r="B1115" i="2"/>
  <c r="A1115" i="2"/>
  <c r="E1759" i="2"/>
  <c r="L1759" i="2" s="1"/>
  <c r="O1759" i="2" s="1"/>
  <c r="D1759" i="2"/>
  <c r="C1759" i="2"/>
  <c r="B1759" i="2"/>
  <c r="A1759" i="2"/>
  <c r="E1609" i="2"/>
  <c r="L1609" i="2" s="1"/>
  <c r="D1609" i="2"/>
  <c r="C1609" i="2"/>
  <c r="B1609" i="2"/>
  <c r="A1609" i="2"/>
  <c r="E1053" i="2"/>
  <c r="L1053" i="2" s="1"/>
  <c r="O1053" i="2" s="1"/>
  <c r="D1053" i="2"/>
  <c r="C1053" i="2"/>
  <c r="B1053" i="2"/>
  <c r="A1053" i="2"/>
  <c r="E953" i="2"/>
  <c r="L953" i="2" s="1"/>
  <c r="O953" i="2" s="1"/>
  <c r="D953" i="2"/>
  <c r="B953" i="2"/>
  <c r="A953" i="2"/>
  <c r="E1229" i="2"/>
  <c r="D1229" i="2"/>
  <c r="C1229" i="2"/>
  <c r="B1229" i="2"/>
  <c r="A1229" i="2"/>
  <c r="E928" i="2"/>
  <c r="L928" i="2" s="1"/>
  <c r="D928" i="2"/>
  <c r="C928" i="2"/>
  <c r="B928" i="2"/>
  <c r="A928" i="2"/>
  <c r="E1776" i="2"/>
  <c r="L1776" i="2" s="1"/>
  <c r="D1776" i="2"/>
  <c r="C1776" i="2"/>
  <c r="B1776" i="2"/>
  <c r="A1776" i="2"/>
  <c r="E666" i="2"/>
  <c r="L666" i="2" s="1"/>
  <c r="O666" i="2" s="1"/>
  <c r="D666" i="2"/>
  <c r="C666" i="2"/>
  <c r="B666" i="2"/>
  <c r="A666" i="2"/>
  <c r="E1190" i="2"/>
  <c r="L1190" i="2" s="1"/>
  <c r="O1190" i="2" s="1"/>
  <c r="D1190" i="2"/>
  <c r="B1190" i="2"/>
  <c r="A1190" i="2"/>
  <c r="E1517" i="2"/>
  <c r="L1517" i="2" s="1"/>
  <c r="O1517" i="2" s="1"/>
  <c r="D1517" i="2"/>
  <c r="C1517" i="2"/>
  <c r="B1517" i="2"/>
  <c r="A1517" i="2"/>
  <c r="E895" i="2"/>
  <c r="L895" i="2" s="1"/>
  <c r="O895" i="2" s="1"/>
  <c r="D895" i="2"/>
  <c r="B895" i="2"/>
  <c r="A895" i="2"/>
  <c r="E681" i="2"/>
  <c r="D681" i="2"/>
  <c r="C681" i="2"/>
  <c r="B681" i="2"/>
  <c r="A681" i="2"/>
  <c r="E894" i="2"/>
  <c r="L894" i="2" s="1"/>
  <c r="O894" i="2" s="1"/>
  <c r="D894" i="2"/>
  <c r="C894" i="2"/>
  <c r="B894" i="2"/>
  <c r="A894" i="2"/>
  <c r="E1264" i="2"/>
  <c r="L1264" i="2" s="1"/>
  <c r="D1264" i="2"/>
  <c r="C1264" i="2"/>
  <c r="B1264" i="2"/>
  <c r="A1264" i="2"/>
  <c r="E1575" i="2"/>
  <c r="L1575" i="2" s="1"/>
  <c r="D1575" i="2"/>
  <c r="C1575" i="2"/>
  <c r="B1575" i="2"/>
  <c r="A1575" i="2"/>
  <c r="E1644" i="2"/>
  <c r="L1644" i="2" s="1"/>
  <c r="D1644" i="2"/>
  <c r="C1644" i="2"/>
  <c r="B1644" i="2"/>
  <c r="A1644" i="2"/>
  <c r="E1334" i="2"/>
  <c r="D1334" i="2"/>
  <c r="C1334" i="2"/>
  <c r="B1334" i="2"/>
  <c r="A1334" i="2"/>
  <c r="E1366" i="2"/>
  <c r="L1366" i="2" s="1"/>
  <c r="O1366" i="2" s="1"/>
  <c r="D1366" i="2"/>
  <c r="C1366" i="2"/>
  <c r="B1366" i="2"/>
  <c r="A1366" i="2"/>
  <c r="E438" i="2"/>
  <c r="L438" i="2" s="1"/>
  <c r="D438" i="2"/>
  <c r="C438" i="2"/>
  <c r="B438" i="2"/>
  <c r="A438" i="2"/>
  <c r="E1296" i="2"/>
  <c r="L1296" i="2" s="1"/>
  <c r="O1296" i="2" s="1"/>
  <c r="D1296" i="2"/>
  <c r="B1296" i="2"/>
  <c r="A1296" i="2"/>
  <c r="E571" i="2"/>
  <c r="L571" i="2" s="1"/>
  <c r="D571" i="2"/>
  <c r="C571" i="2"/>
  <c r="B571" i="2"/>
  <c r="A571" i="2"/>
  <c r="E1595" i="2"/>
  <c r="D1595" i="2"/>
  <c r="B1595" i="2"/>
  <c r="A1595" i="2"/>
  <c r="E700" i="2"/>
  <c r="L700" i="2" s="1"/>
  <c r="D700" i="2"/>
  <c r="C700" i="2"/>
  <c r="B700" i="2"/>
  <c r="A700" i="2"/>
  <c r="E348" i="2"/>
  <c r="L348" i="2" s="1"/>
  <c r="O348" i="2" s="1"/>
  <c r="D348" i="2"/>
  <c r="C348" i="2"/>
  <c r="B348" i="2"/>
  <c r="A348" i="2"/>
  <c r="E1663" i="2"/>
  <c r="L1663" i="2" s="1"/>
  <c r="D1663" i="2"/>
  <c r="B1663" i="2"/>
  <c r="A1663" i="2"/>
  <c r="E675" i="2"/>
  <c r="L675" i="2" s="1"/>
  <c r="D675" i="2"/>
  <c r="B675" i="2"/>
  <c r="A675" i="2"/>
  <c r="E308" i="2"/>
  <c r="D308" i="2"/>
  <c r="C308" i="2"/>
  <c r="B308" i="2"/>
  <c r="A308" i="2"/>
  <c r="E893" i="2"/>
  <c r="L893" i="2" s="1"/>
  <c r="D893" i="2"/>
  <c r="B893" i="2"/>
  <c r="A893" i="2"/>
  <c r="E456" i="2"/>
  <c r="D456" i="2"/>
  <c r="C456" i="2"/>
  <c r="B456" i="2"/>
  <c r="A456" i="2"/>
  <c r="E750" i="2"/>
  <c r="L750" i="2" s="1"/>
  <c r="O750" i="2" s="1"/>
  <c r="D750" i="2"/>
  <c r="B750" i="2"/>
  <c r="A750" i="2"/>
  <c r="E1298" i="2"/>
  <c r="L1298" i="2" s="1"/>
  <c r="D1298" i="2"/>
  <c r="C1298" i="2"/>
  <c r="B1298" i="2"/>
  <c r="A1298" i="2"/>
  <c r="E1798" i="2"/>
  <c r="L1798" i="2" s="1"/>
  <c r="D1798" i="2"/>
  <c r="C1798" i="2"/>
  <c r="B1798" i="2"/>
  <c r="A1798" i="2"/>
  <c r="E680" i="2"/>
  <c r="D680" i="2"/>
  <c r="B680" i="2"/>
  <c r="A680" i="2"/>
  <c r="E1221" i="2"/>
  <c r="D1221" i="2"/>
  <c r="C1221" i="2"/>
  <c r="B1221" i="2"/>
  <c r="A1221" i="2"/>
  <c r="E178" i="2"/>
  <c r="L178" i="2" s="1"/>
  <c r="O178" i="2" s="1"/>
  <c r="D178" i="2"/>
  <c r="C178" i="2"/>
  <c r="B178" i="2"/>
  <c r="A178" i="2"/>
  <c r="E104" i="2"/>
  <c r="L104" i="2" s="1"/>
  <c r="O104" i="2" s="1"/>
  <c r="D104" i="2"/>
  <c r="C104" i="2"/>
  <c r="B104" i="2"/>
  <c r="A104" i="2"/>
  <c r="E1587" i="2"/>
  <c r="L1587" i="2" s="1"/>
  <c r="O1587" i="2" s="1"/>
  <c r="D1587" i="2"/>
  <c r="B1587" i="2"/>
  <c r="A1587" i="2"/>
  <c r="E136" i="2"/>
  <c r="L136" i="2" s="1"/>
  <c r="O136" i="2" s="1"/>
  <c r="D136" i="2"/>
  <c r="C136" i="2"/>
  <c r="B136" i="2"/>
  <c r="A136" i="2"/>
  <c r="E984" i="2"/>
  <c r="D984" i="2"/>
  <c r="C984" i="2"/>
  <c r="B984" i="2"/>
  <c r="A984" i="2"/>
  <c r="E952" i="2"/>
  <c r="L952" i="2" s="1"/>
  <c r="O952" i="2" s="1"/>
  <c r="D952" i="2"/>
  <c r="B952" i="2"/>
  <c r="A952" i="2"/>
  <c r="E1052" i="2"/>
  <c r="L1052" i="2" s="1"/>
  <c r="O1052" i="2" s="1"/>
  <c r="D1052" i="2"/>
  <c r="C1052" i="2"/>
  <c r="B1052" i="2"/>
  <c r="A1052" i="2"/>
  <c r="E1646" i="2"/>
  <c r="L1646" i="2" s="1"/>
  <c r="O1646" i="2" s="1"/>
  <c r="D1646" i="2"/>
  <c r="B1646" i="2"/>
  <c r="A1646" i="2"/>
  <c r="E212" i="2"/>
  <c r="L212" i="2" s="1"/>
  <c r="O212" i="2" s="1"/>
  <c r="D212" i="2"/>
  <c r="C212" i="2"/>
  <c r="B212" i="2"/>
  <c r="A212" i="2"/>
  <c r="E951" i="2"/>
  <c r="L951" i="2" s="1"/>
  <c r="D951" i="2"/>
  <c r="B951" i="2"/>
  <c r="A951" i="2"/>
  <c r="E915" i="2"/>
  <c r="L915" i="2" s="1"/>
  <c r="O915" i="2" s="1"/>
  <c r="D915" i="2"/>
  <c r="C915" i="2"/>
  <c r="B915" i="2"/>
  <c r="A915" i="2"/>
  <c r="E1441" i="2"/>
  <c r="L1441" i="2" s="1"/>
  <c r="D1441" i="2"/>
  <c r="B1441" i="2"/>
  <c r="A1441" i="2"/>
  <c r="E1467" i="2"/>
  <c r="L1467" i="2" s="1"/>
  <c r="O1467" i="2" s="1"/>
  <c r="D1467" i="2"/>
  <c r="C1467" i="2"/>
  <c r="B1467" i="2"/>
  <c r="A1467" i="2"/>
  <c r="E876" i="2"/>
  <c r="L876" i="2" s="1"/>
  <c r="O876" i="2" s="1"/>
  <c r="D876" i="2"/>
  <c r="C876" i="2"/>
  <c r="B876" i="2"/>
  <c r="A876" i="2"/>
  <c r="E819" i="2"/>
  <c r="L819" i="2" s="1"/>
  <c r="D819" i="2"/>
  <c r="C819" i="2"/>
  <c r="B819" i="2"/>
  <c r="A819" i="2"/>
  <c r="E225" i="2"/>
  <c r="D225" i="2"/>
  <c r="C225" i="2"/>
  <c r="B225" i="2"/>
  <c r="A225" i="2"/>
  <c r="E892" i="2"/>
  <c r="L892" i="2" s="1"/>
  <c r="D892" i="2"/>
  <c r="B892" i="2"/>
  <c r="A892" i="2"/>
  <c r="E570" i="2"/>
  <c r="L570" i="2" s="1"/>
  <c r="O570" i="2" s="1"/>
  <c r="D570" i="2"/>
  <c r="B570" i="2"/>
  <c r="A570" i="2"/>
  <c r="E1795" i="2"/>
  <c r="L1795" i="2" s="1"/>
  <c r="O1795" i="2" s="1"/>
  <c r="D1795" i="2"/>
  <c r="B1795" i="2"/>
  <c r="A1795" i="2"/>
  <c r="E1241" i="2"/>
  <c r="L1241" i="2" s="1"/>
  <c r="D1241" i="2"/>
  <c r="B1241" i="2"/>
  <c r="A1241" i="2"/>
  <c r="E1370" i="2"/>
  <c r="L1370" i="2" s="1"/>
  <c r="D1370" i="2"/>
  <c r="B1370" i="2"/>
  <c r="A1370" i="2"/>
  <c r="E84" i="2"/>
  <c r="L84" i="2" s="1"/>
  <c r="O84" i="2" s="1"/>
  <c r="D84" i="2"/>
  <c r="C84" i="2"/>
  <c r="B84" i="2"/>
  <c r="A84" i="2"/>
  <c r="E1263" i="2"/>
  <c r="L1263" i="2" s="1"/>
  <c r="D1263" i="2"/>
  <c r="C1263" i="2"/>
  <c r="B1263" i="2"/>
  <c r="A1263" i="2"/>
  <c r="E1082" i="2"/>
  <c r="L1082" i="2" s="1"/>
  <c r="O1082" i="2" s="1"/>
  <c r="D1082" i="2"/>
  <c r="C1082" i="2"/>
  <c r="B1082" i="2"/>
  <c r="A1082" i="2"/>
  <c r="E1060" i="2"/>
  <c r="D1060" i="2"/>
  <c r="C1060" i="2"/>
  <c r="B1060" i="2"/>
  <c r="A1060" i="2"/>
  <c r="E1472" i="2"/>
  <c r="L1472" i="2" s="1"/>
  <c r="D1472" i="2"/>
  <c r="B1472" i="2"/>
  <c r="A1472" i="2"/>
  <c r="E891" i="2"/>
  <c r="L891" i="2" s="1"/>
  <c r="D891" i="2"/>
  <c r="B891" i="2"/>
  <c r="A891" i="2"/>
  <c r="E1129" i="2"/>
  <c r="L1129" i="2" s="1"/>
  <c r="O1129" i="2" s="1"/>
  <c r="D1129" i="2"/>
  <c r="B1129" i="2"/>
  <c r="A1129" i="2"/>
  <c r="E398" i="2"/>
  <c r="D398" i="2"/>
  <c r="C398" i="2"/>
  <c r="B398" i="2"/>
  <c r="A398" i="2"/>
  <c r="E1675" i="2"/>
  <c r="L1675" i="2" s="1"/>
  <c r="D1675" i="2"/>
  <c r="B1675" i="2"/>
  <c r="A1675" i="2"/>
  <c r="E1530" i="2"/>
  <c r="L1530" i="2" s="1"/>
  <c r="O1530" i="2" s="1"/>
  <c r="D1530" i="2"/>
  <c r="C1530" i="2"/>
  <c r="B1530" i="2"/>
  <c r="A1530" i="2"/>
  <c r="E679" i="2"/>
  <c r="D679" i="2"/>
  <c r="C679" i="2"/>
  <c r="B679" i="2"/>
  <c r="A679" i="2"/>
  <c r="E1677" i="2"/>
  <c r="L1677" i="2" s="1"/>
  <c r="D1677" i="2"/>
  <c r="B1677" i="2"/>
  <c r="A1677" i="2"/>
  <c r="E1673" i="2"/>
  <c r="L1673" i="2" s="1"/>
  <c r="O1673" i="2" s="1"/>
  <c r="D1673" i="2"/>
  <c r="C1673" i="2"/>
  <c r="B1673" i="2"/>
  <c r="A1673" i="2"/>
  <c r="E437" i="2"/>
  <c r="L437" i="2" s="1"/>
  <c r="D437" i="2"/>
  <c r="C437" i="2"/>
  <c r="B437" i="2"/>
  <c r="A437" i="2"/>
  <c r="E569" i="2"/>
  <c r="L569" i="2" s="1"/>
  <c r="O569" i="2" s="1"/>
  <c r="D569" i="2"/>
  <c r="C569" i="2"/>
  <c r="B569" i="2"/>
  <c r="A569" i="2"/>
  <c r="E699" i="2"/>
  <c r="L699" i="2" s="1"/>
  <c r="D699" i="2"/>
  <c r="C699" i="2"/>
  <c r="B699" i="2"/>
  <c r="A699" i="2"/>
  <c r="E523" i="2"/>
  <c r="L523" i="2" s="1"/>
  <c r="O523" i="2" s="1"/>
  <c r="D523" i="2"/>
  <c r="C523" i="2"/>
  <c r="B523" i="2"/>
  <c r="A523" i="2"/>
  <c r="E1692" i="2"/>
  <c r="L1692" i="2" s="1"/>
  <c r="D1692" i="2"/>
  <c r="C1692" i="2"/>
  <c r="B1692" i="2"/>
  <c r="A1692" i="2"/>
  <c r="E1438" i="2"/>
  <c r="L1438" i="2" s="1"/>
  <c r="O1438" i="2" s="1"/>
  <c r="D1438" i="2"/>
  <c r="B1438" i="2"/>
  <c r="A1438" i="2"/>
  <c r="E1733" i="2"/>
  <c r="L1733" i="2" s="1"/>
  <c r="O1733" i="2" s="1"/>
  <c r="D1733" i="2"/>
  <c r="C1733" i="2"/>
  <c r="B1733" i="2"/>
  <c r="A1733" i="2"/>
  <c r="E791" i="2"/>
  <c r="L791" i="2" s="1"/>
  <c r="O791" i="2" s="1"/>
  <c r="D791" i="2"/>
  <c r="C791" i="2"/>
  <c r="B791" i="2"/>
  <c r="A791" i="2"/>
  <c r="E1011" i="2"/>
  <c r="L1011" i="2" s="1"/>
  <c r="O1011" i="2" s="1"/>
  <c r="D1011" i="2"/>
  <c r="B1011" i="2"/>
  <c r="A1011" i="2"/>
  <c r="E1724" i="2"/>
  <c r="L1724" i="2" s="1"/>
  <c r="D1724" i="2"/>
  <c r="B1724" i="2"/>
  <c r="A1724" i="2"/>
  <c r="E504" i="2"/>
  <c r="D504" i="2"/>
  <c r="B504" i="2"/>
  <c r="A504" i="2"/>
  <c r="E800" i="2"/>
  <c r="L800" i="2" s="1"/>
  <c r="O800" i="2" s="1"/>
  <c r="D800" i="2"/>
  <c r="C800" i="2"/>
  <c r="B800" i="2"/>
  <c r="A800" i="2"/>
  <c r="E1395" i="2"/>
  <c r="D1395" i="2"/>
  <c r="C1395" i="2"/>
  <c r="B1395" i="2"/>
  <c r="A1395" i="2"/>
  <c r="E1712" i="2"/>
  <c r="L1712" i="2" s="1"/>
  <c r="D1712" i="2"/>
  <c r="C1712" i="2"/>
  <c r="B1712" i="2"/>
  <c r="A1712" i="2"/>
  <c r="E1732" i="2"/>
  <c r="L1732" i="2" s="1"/>
  <c r="O1732" i="2" s="1"/>
  <c r="D1732" i="2"/>
  <c r="C1732" i="2"/>
  <c r="B1732" i="2"/>
  <c r="A1732" i="2"/>
  <c r="E226" i="2"/>
  <c r="L226" i="2" s="1"/>
  <c r="D226" i="2"/>
  <c r="B226" i="2"/>
  <c r="A226" i="2"/>
  <c r="E1775" i="2"/>
  <c r="L1775" i="2" s="1"/>
  <c r="D1775" i="2"/>
  <c r="C1775" i="2"/>
  <c r="B1775" i="2"/>
  <c r="A1775" i="2"/>
  <c r="E1791" i="2"/>
  <c r="L1791" i="2" s="1"/>
  <c r="D1791" i="2"/>
  <c r="C1791" i="2"/>
  <c r="B1791" i="2"/>
  <c r="A1791" i="2"/>
  <c r="E997" i="2"/>
  <c r="L997" i="2" s="1"/>
  <c r="O997" i="2" s="1"/>
  <c r="D997" i="2"/>
  <c r="C997" i="2"/>
  <c r="B997" i="2"/>
  <c r="A997" i="2"/>
  <c r="E1645" i="2"/>
  <c r="L1645" i="2" s="1"/>
  <c r="O1645" i="2" s="1"/>
  <c r="D1645" i="2"/>
  <c r="C1645" i="2"/>
  <c r="B1645" i="2"/>
  <c r="A1645" i="2"/>
  <c r="E1550" i="2"/>
  <c r="L1550" i="2" s="1"/>
  <c r="O1550" i="2" s="1"/>
  <c r="D1550" i="2"/>
  <c r="B1550" i="2"/>
  <c r="A1550" i="2"/>
  <c r="E343" i="2"/>
  <c r="D343" i="2"/>
  <c r="C343" i="2"/>
  <c r="B343" i="2"/>
  <c r="A343" i="2"/>
  <c r="E1593" i="2"/>
  <c r="L1593" i="2" s="1"/>
  <c r="D1593" i="2"/>
  <c r="B1593" i="2"/>
  <c r="A1593" i="2"/>
  <c r="E1279" i="2"/>
  <c r="D1279" i="2"/>
  <c r="B1279" i="2"/>
  <c r="A1279" i="2"/>
  <c r="E1404" i="2"/>
  <c r="D1404" i="2"/>
  <c r="C1404" i="2"/>
  <c r="B1404" i="2"/>
  <c r="A1404" i="2"/>
  <c r="E674" i="2"/>
  <c r="L674" i="2" s="1"/>
  <c r="O674" i="2" s="1"/>
  <c r="D674" i="2"/>
  <c r="C674" i="2"/>
  <c r="B674" i="2"/>
  <c r="A674" i="2"/>
  <c r="E818" i="2"/>
  <c r="L818" i="2" s="1"/>
  <c r="O818" i="2" s="1"/>
  <c r="D818" i="2"/>
  <c r="C818" i="2"/>
  <c r="B818" i="2"/>
  <c r="A818" i="2"/>
  <c r="E1529" i="2"/>
  <c r="L1529" i="2" s="1"/>
  <c r="O1529" i="2" s="1"/>
  <c r="D1529" i="2"/>
  <c r="C1529" i="2"/>
  <c r="B1529" i="2"/>
  <c r="A1529" i="2"/>
  <c r="E1589" i="2"/>
  <c r="L1589" i="2" s="1"/>
  <c r="O1589" i="2" s="1"/>
  <c r="D1589" i="2"/>
  <c r="C1589" i="2"/>
  <c r="B1589" i="2"/>
  <c r="A1589" i="2"/>
  <c r="E633" i="2"/>
  <c r="L633" i="2" s="1"/>
  <c r="O633" i="2" s="1"/>
  <c r="D633" i="2"/>
  <c r="B633" i="2"/>
  <c r="A633" i="2"/>
  <c r="E1354" i="2"/>
  <c r="L1354" i="2" s="1"/>
  <c r="D1354" i="2"/>
  <c r="C1354" i="2"/>
  <c r="B1354" i="2"/>
  <c r="A1354" i="2"/>
  <c r="E408" i="2"/>
  <c r="L408" i="2" s="1"/>
  <c r="O408" i="2" s="1"/>
  <c r="D408" i="2"/>
  <c r="C408" i="2"/>
  <c r="B408" i="2"/>
  <c r="A408" i="2"/>
  <c r="E749" i="2"/>
  <c r="L749" i="2" s="1"/>
  <c r="O749" i="2" s="1"/>
  <c r="D749" i="2"/>
  <c r="B749" i="2"/>
  <c r="A749" i="2"/>
  <c r="E407" i="2"/>
  <c r="L407" i="2" s="1"/>
  <c r="O407" i="2" s="1"/>
  <c r="D407" i="2"/>
  <c r="B407" i="2"/>
  <c r="A407" i="2"/>
  <c r="E530" i="2"/>
  <c r="L530" i="2" s="1"/>
  <c r="O530" i="2" s="1"/>
  <c r="D530" i="2"/>
  <c r="C530" i="2"/>
  <c r="B530" i="2"/>
  <c r="A530" i="2"/>
  <c r="E1474" i="2"/>
  <c r="L1474" i="2" s="1"/>
  <c r="O1474" i="2" s="1"/>
  <c r="D1474" i="2"/>
  <c r="B1474" i="2"/>
  <c r="A1474" i="2"/>
  <c r="E1081" i="2"/>
  <c r="L1081" i="2" s="1"/>
  <c r="O1081" i="2" s="1"/>
  <c r="D1081" i="2"/>
  <c r="C1081" i="2"/>
  <c r="B1081" i="2"/>
  <c r="A1081" i="2"/>
  <c r="E1592" i="2"/>
  <c r="L1592" i="2" s="1"/>
  <c r="O1592" i="2" s="1"/>
  <c r="D1592" i="2"/>
  <c r="C1592" i="2"/>
  <c r="B1592" i="2"/>
  <c r="A1592" i="2"/>
  <c r="E1461" i="2"/>
  <c r="D1461" i="2"/>
  <c r="B1461" i="2"/>
  <c r="A1461" i="2"/>
  <c r="E332" i="2"/>
  <c r="L332" i="2" s="1"/>
  <c r="O332" i="2" s="1"/>
  <c r="D332" i="2"/>
  <c r="B332" i="2"/>
  <c r="A332" i="2"/>
  <c r="E1460" i="2"/>
  <c r="D1460" i="2"/>
  <c r="C1460" i="2"/>
  <c r="B1460" i="2"/>
  <c r="A1460" i="2"/>
  <c r="E600" i="2"/>
  <c r="D600" i="2"/>
  <c r="C600" i="2"/>
  <c r="B600" i="2"/>
  <c r="A600" i="2"/>
  <c r="E627" i="2"/>
  <c r="L627" i="2" s="1"/>
  <c r="O627" i="2" s="1"/>
  <c r="D627" i="2"/>
  <c r="B627" i="2"/>
  <c r="A627" i="2"/>
  <c r="E103" i="2"/>
  <c r="L103" i="2" s="1"/>
  <c r="O103" i="2" s="1"/>
  <c r="D103" i="2"/>
  <c r="C103" i="2"/>
  <c r="B103" i="2"/>
  <c r="A103" i="2"/>
  <c r="E1430" i="2"/>
  <c r="L1430" i="2" s="1"/>
  <c r="O1430" i="2" s="1"/>
  <c r="D1430" i="2"/>
  <c r="C1430" i="2"/>
  <c r="B1430" i="2"/>
  <c r="A1430" i="2"/>
  <c r="E1057" i="2"/>
  <c r="L1057" i="2" s="1"/>
  <c r="D1057" i="2"/>
  <c r="B1057" i="2"/>
  <c r="A1057" i="2"/>
  <c r="E1746" i="2"/>
  <c r="L1746" i="2" s="1"/>
  <c r="O1746" i="2" s="1"/>
  <c r="D1746" i="2"/>
  <c r="B1746" i="2"/>
  <c r="A1746" i="2"/>
  <c r="E1275" i="2"/>
  <c r="L1275" i="2" s="1"/>
  <c r="O1275" i="2" s="1"/>
  <c r="D1275" i="2"/>
  <c r="C1275" i="2"/>
  <c r="B1275" i="2"/>
  <c r="A1275" i="2"/>
  <c r="E1317" i="2"/>
  <c r="L1317" i="2" s="1"/>
  <c r="D1317" i="2"/>
  <c r="B1317" i="2"/>
  <c r="A1317" i="2"/>
  <c r="E1743" i="2"/>
  <c r="L1743" i="2" s="1"/>
  <c r="D1743" i="2"/>
  <c r="B1743" i="2"/>
  <c r="A1743" i="2"/>
  <c r="E551" i="2"/>
  <c r="L551" i="2" s="1"/>
  <c r="D551" i="2"/>
  <c r="C551" i="2"/>
  <c r="B551" i="2"/>
  <c r="A551" i="2"/>
  <c r="E1676" i="2"/>
  <c r="L1676" i="2" s="1"/>
  <c r="D1676" i="2"/>
  <c r="C1676" i="2"/>
  <c r="B1676" i="2"/>
  <c r="A1676" i="2"/>
  <c r="E1000" i="2"/>
  <c r="L1000" i="2" s="1"/>
  <c r="O1000" i="2" s="1"/>
  <c r="D1000" i="2"/>
  <c r="C1000" i="2"/>
  <c r="B1000" i="2"/>
  <c r="A1000" i="2"/>
  <c r="E263" i="2"/>
  <c r="L263" i="2" s="1"/>
  <c r="O263" i="2" s="1"/>
  <c r="D263" i="2"/>
  <c r="B263" i="2"/>
  <c r="A263" i="2"/>
  <c r="E1042" i="2"/>
  <c r="L1042" i="2" s="1"/>
  <c r="D1042" i="2"/>
  <c r="C1042" i="2"/>
  <c r="B1042" i="2"/>
  <c r="A1042" i="2"/>
  <c r="E940" i="2"/>
  <c r="L940" i="2" s="1"/>
  <c r="O940" i="2" s="1"/>
  <c r="D940" i="2"/>
  <c r="C940" i="2"/>
  <c r="B940" i="2"/>
  <c r="A940" i="2"/>
  <c r="E307" i="2"/>
  <c r="D307" i="2"/>
  <c r="B307" i="2"/>
  <c r="A307" i="2"/>
  <c r="E1138" i="2"/>
  <c r="L1138" i="2" s="1"/>
  <c r="O1138" i="2" s="1"/>
  <c r="D1138" i="2"/>
  <c r="C1138" i="2"/>
  <c r="B1138" i="2"/>
  <c r="A1138" i="2"/>
  <c r="E1215" i="2"/>
  <c r="L1215" i="2" s="1"/>
  <c r="D1215" i="2"/>
  <c r="C1215" i="2"/>
  <c r="B1215" i="2"/>
  <c r="A1215" i="2"/>
  <c r="E30" i="2"/>
  <c r="D30" i="2"/>
  <c r="C30" i="2"/>
  <c r="B30" i="2"/>
  <c r="A30" i="2"/>
  <c r="E341" i="2"/>
  <c r="D341" i="2"/>
  <c r="C341" i="2"/>
  <c r="B341" i="2"/>
  <c r="A341" i="2"/>
  <c r="E922" i="2"/>
  <c r="L922" i="2" s="1"/>
  <c r="D922" i="2"/>
  <c r="C922" i="2"/>
  <c r="B922" i="2"/>
  <c r="A922" i="2"/>
  <c r="E1608" i="2"/>
  <c r="L1608" i="2" s="1"/>
  <c r="D1608" i="2"/>
  <c r="B1608" i="2"/>
  <c r="A1608" i="2"/>
  <c r="E466" i="2"/>
  <c r="L466" i="2" s="1"/>
  <c r="O466" i="2" s="1"/>
  <c r="D466" i="2"/>
  <c r="B466" i="2"/>
  <c r="A466" i="2"/>
  <c r="E211" i="2"/>
  <c r="L211" i="2" s="1"/>
  <c r="O211" i="2" s="1"/>
  <c r="D211" i="2"/>
  <c r="B211" i="2"/>
  <c r="A211" i="2"/>
  <c r="E199" i="2"/>
  <c r="D199" i="2"/>
  <c r="C199" i="2"/>
  <c r="B199" i="2"/>
  <c r="A199" i="2"/>
  <c r="E1797" i="2"/>
  <c r="L1797" i="2" s="1"/>
  <c r="D1797" i="2"/>
  <c r="B1797" i="2"/>
  <c r="A1797" i="2"/>
  <c r="E522" i="2"/>
  <c r="L522" i="2" s="1"/>
  <c r="D522" i="2"/>
  <c r="C522" i="2"/>
  <c r="B522" i="2"/>
  <c r="A522" i="2"/>
  <c r="E1574" i="2"/>
  <c r="L1574" i="2" s="1"/>
  <c r="O1574" i="2" s="1"/>
  <c r="D1574" i="2"/>
  <c r="B1574" i="2"/>
  <c r="A1574" i="2"/>
  <c r="E1329" i="2"/>
  <c r="L1329" i="2" s="1"/>
  <c r="D1329" i="2"/>
  <c r="B1329" i="2"/>
  <c r="A1329" i="2"/>
  <c r="E979" i="2"/>
  <c r="L979" i="2" s="1"/>
  <c r="O979" i="2" s="1"/>
  <c r="D979" i="2"/>
  <c r="B979" i="2"/>
  <c r="A979" i="2"/>
  <c r="E1225" i="2"/>
  <c r="D1225" i="2"/>
  <c r="B1225" i="2"/>
  <c r="A1225" i="2"/>
  <c r="E1220" i="2"/>
  <c r="D1220" i="2"/>
  <c r="C1220" i="2"/>
  <c r="B1220" i="2"/>
  <c r="A1220" i="2"/>
  <c r="E529" i="2"/>
  <c r="L529" i="2" s="1"/>
  <c r="D529" i="2"/>
  <c r="C529" i="2"/>
  <c r="B529" i="2"/>
  <c r="A529" i="2"/>
  <c r="E1710" i="2"/>
  <c r="D1710" i="2"/>
  <c r="B1710" i="2"/>
  <c r="A1710" i="2"/>
  <c r="E1723" i="2"/>
  <c r="L1723" i="2" s="1"/>
  <c r="D1723" i="2"/>
  <c r="B1723" i="2"/>
  <c r="A1723" i="2"/>
  <c r="E1548" i="2"/>
  <c r="L1548" i="2" s="1"/>
  <c r="O1548" i="2" s="1"/>
  <c r="D1548" i="2"/>
  <c r="B1548" i="2"/>
  <c r="A1548" i="2"/>
  <c r="E890" i="2"/>
  <c r="L890" i="2" s="1"/>
  <c r="O890" i="2" s="1"/>
  <c r="D890" i="2"/>
  <c r="B890" i="2"/>
  <c r="A890" i="2"/>
  <c r="E1500" i="2"/>
  <c r="L1500" i="2" s="1"/>
  <c r="O1500" i="2" s="1"/>
  <c r="D1500" i="2"/>
  <c r="C1500" i="2"/>
  <c r="B1500" i="2"/>
  <c r="A1500" i="2"/>
  <c r="E1297" i="2"/>
  <c r="L1297" i="2" s="1"/>
  <c r="D1297" i="2"/>
  <c r="C1297" i="2"/>
  <c r="B1297" i="2"/>
  <c r="A1297" i="2"/>
  <c r="E1594" i="2"/>
  <c r="L1594" i="2" s="1"/>
  <c r="O1594" i="2" s="1"/>
  <c r="D1594" i="2"/>
  <c r="C1594" i="2"/>
  <c r="B1594" i="2"/>
  <c r="A1594" i="2"/>
  <c r="E1520" i="2"/>
  <c r="L1520" i="2" s="1"/>
  <c r="O1520" i="2" s="1"/>
  <c r="D1520" i="2"/>
  <c r="C1520" i="2"/>
  <c r="B1520" i="2"/>
  <c r="A1520" i="2"/>
  <c r="E1010" i="2"/>
  <c r="L1010" i="2" s="1"/>
  <c r="O1010" i="2" s="1"/>
  <c r="D1010" i="2"/>
  <c r="C1010" i="2"/>
  <c r="B1010" i="2"/>
  <c r="A1010" i="2"/>
  <c r="E1790" i="2"/>
  <c r="L1790" i="2" s="1"/>
  <c r="D1790" i="2"/>
  <c r="C1790" i="2"/>
  <c r="B1790" i="2"/>
  <c r="A1790" i="2"/>
  <c r="E729" i="2"/>
  <c r="L729" i="2" s="1"/>
  <c r="O729" i="2" s="1"/>
  <c r="D729" i="2"/>
  <c r="C729" i="2"/>
  <c r="B729" i="2"/>
  <c r="A729" i="2"/>
  <c r="E1069" i="2"/>
  <c r="L1069" i="2" s="1"/>
  <c r="O1069" i="2" s="1"/>
  <c r="D1069" i="2"/>
  <c r="C1069" i="2"/>
  <c r="B1069" i="2"/>
  <c r="A1069" i="2"/>
  <c r="E1089" i="2"/>
  <c r="L1089" i="2" s="1"/>
  <c r="O1089" i="2" s="1"/>
  <c r="D1089" i="2"/>
  <c r="C1089" i="2"/>
  <c r="B1089" i="2"/>
  <c r="A1089" i="2"/>
  <c r="E1114" i="2"/>
  <c r="L1114" i="2" s="1"/>
  <c r="O1114" i="2" s="1"/>
  <c r="D1114" i="2"/>
  <c r="B1114" i="2"/>
  <c r="A1114" i="2"/>
  <c r="E1588" i="2"/>
  <c r="L1588" i="2" s="1"/>
  <c r="O1588" i="2" s="1"/>
  <c r="D1588" i="2"/>
  <c r="C1588" i="2"/>
  <c r="B1588" i="2"/>
  <c r="A1588" i="2"/>
  <c r="E1607" i="2"/>
  <c r="L1607" i="2" s="1"/>
  <c r="D1607" i="2"/>
  <c r="C1607" i="2"/>
  <c r="B1607" i="2"/>
  <c r="A1607" i="2"/>
  <c r="E1774" i="2"/>
  <c r="L1774" i="2" s="1"/>
  <c r="D1774" i="2"/>
  <c r="C1774" i="2"/>
  <c r="B1774" i="2"/>
  <c r="A1774" i="2"/>
  <c r="E347" i="2"/>
  <c r="L347" i="2" s="1"/>
  <c r="O347" i="2" s="1"/>
  <c r="D347" i="2"/>
  <c r="B347" i="2"/>
  <c r="A347" i="2"/>
  <c r="E154" i="2"/>
  <c r="D154" i="2"/>
  <c r="C154" i="2"/>
  <c r="B154" i="2"/>
  <c r="A154" i="2"/>
  <c r="E614" i="2"/>
  <c r="L614" i="2" s="1"/>
  <c r="O614" i="2" s="1"/>
  <c r="D614" i="2"/>
  <c r="C614" i="2"/>
  <c r="B614" i="2"/>
  <c r="A614" i="2"/>
  <c r="E1361" i="2"/>
  <c r="L1361" i="2" s="1"/>
  <c r="D1361" i="2"/>
  <c r="C1361" i="2"/>
  <c r="B1361" i="2"/>
  <c r="A1361" i="2"/>
  <c r="E474" i="2"/>
  <c r="D474" i="2"/>
  <c r="B474" i="2"/>
  <c r="A474" i="2"/>
  <c r="E1284" i="2"/>
  <c r="L1284" i="2" s="1"/>
  <c r="D1284" i="2"/>
  <c r="B1284" i="2"/>
  <c r="A1284" i="2"/>
  <c r="E173" i="2"/>
  <c r="D173" i="2"/>
  <c r="C173" i="2"/>
  <c r="B173" i="2"/>
  <c r="A173" i="2"/>
  <c r="E198" i="2"/>
  <c r="D198" i="2"/>
  <c r="C198" i="2"/>
  <c r="B198" i="2"/>
  <c r="A198" i="2"/>
  <c r="E1719" i="2"/>
  <c r="D1719" i="2"/>
  <c r="C1719" i="2"/>
  <c r="B1719" i="2"/>
  <c r="A1719" i="2"/>
  <c r="E748" i="2"/>
  <c r="L748" i="2" s="1"/>
  <c r="D748" i="2"/>
  <c r="B748" i="2"/>
  <c r="A748" i="2"/>
  <c r="E1546" i="2"/>
  <c r="L1546" i="2" s="1"/>
  <c r="O1546" i="2" s="1"/>
  <c r="D1546" i="2"/>
  <c r="C1546" i="2"/>
  <c r="B1546" i="2"/>
  <c r="A1546" i="2"/>
  <c r="E663" i="2"/>
  <c r="L663" i="2" s="1"/>
  <c r="O663" i="2" s="1"/>
  <c r="D663" i="2"/>
  <c r="C663" i="2"/>
  <c r="B663" i="2"/>
  <c r="A663" i="2"/>
  <c r="E1080" i="2"/>
  <c r="L1080" i="2" s="1"/>
  <c r="D1080" i="2"/>
  <c r="C1080" i="2"/>
  <c r="B1080" i="2"/>
  <c r="A1080" i="2"/>
  <c r="E1240" i="2"/>
  <c r="L1240" i="2" s="1"/>
  <c r="O1240" i="2" s="1"/>
  <c r="D1240" i="2"/>
  <c r="B1240" i="2"/>
  <c r="A1240" i="2"/>
  <c r="E565" i="2"/>
  <c r="L565" i="2" s="1"/>
  <c r="O565" i="2" s="1"/>
  <c r="D565" i="2"/>
  <c r="B565" i="2"/>
  <c r="A565" i="2"/>
  <c r="E1412" i="2"/>
  <c r="L1412" i="2" s="1"/>
  <c r="D1412" i="2"/>
  <c r="B1412" i="2"/>
  <c r="A1412" i="2"/>
  <c r="E1513" i="2"/>
  <c r="L1513" i="2" s="1"/>
  <c r="D1513" i="2"/>
  <c r="B1513" i="2"/>
  <c r="A1513" i="2"/>
  <c r="E1466" i="2"/>
  <c r="L1466" i="2" s="1"/>
  <c r="O1466" i="2" s="1"/>
  <c r="D1466" i="2"/>
  <c r="C1466" i="2"/>
  <c r="B1466" i="2"/>
  <c r="A1466" i="2"/>
  <c r="E1280" i="2"/>
  <c r="L1280" i="2" s="1"/>
  <c r="D1280" i="2"/>
  <c r="C1280" i="2"/>
  <c r="B1280" i="2"/>
  <c r="A1280" i="2"/>
  <c r="E1068" i="2"/>
  <c r="L1068" i="2" s="1"/>
  <c r="O1068" i="2" s="1"/>
  <c r="D1068" i="2"/>
  <c r="C1068" i="2"/>
  <c r="B1068" i="2"/>
  <c r="A1068" i="2"/>
  <c r="E568" i="2"/>
  <c r="L568" i="2" s="1"/>
  <c r="D568" i="2"/>
  <c r="B568" i="2"/>
  <c r="A568" i="2"/>
  <c r="E528" i="2"/>
  <c r="L528" i="2" s="1"/>
  <c r="O528" i="2" s="1"/>
  <c r="D528" i="2"/>
  <c r="C528" i="2"/>
  <c r="B528" i="2"/>
  <c r="A528" i="2"/>
  <c r="E314" i="2"/>
  <c r="L314" i="2" s="1"/>
  <c r="O314" i="2" s="1"/>
  <c r="D314" i="2"/>
  <c r="C314" i="2"/>
  <c r="B314" i="2"/>
  <c r="A314" i="2"/>
  <c r="E620" i="2"/>
  <c r="L620" i="2" s="1"/>
  <c r="O620" i="2" s="1"/>
  <c r="D620" i="2"/>
  <c r="C620" i="2"/>
  <c r="B620" i="2"/>
  <c r="A620" i="2"/>
  <c r="E999" i="2"/>
  <c r="L999" i="2" s="1"/>
  <c r="O999" i="2" s="1"/>
  <c r="D999" i="2"/>
  <c r="B999" i="2"/>
  <c r="A999" i="2"/>
  <c r="E1463" i="2"/>
  <c r="D1463" i="2"/>
  <c r="C1463" i="2"/>
  <c r="B1463" i="2"/>
  <c r="A1463" i="2"/>
  <c r="E1387" i="2"/>
  <c r="L1387" i="2" s="1"/>
  <c r="O1387" i="2" s="1"/>
  <c r="D1387" i="2"/>
  <c r="B1387" i="2"/>
  <c r="A1387" i="2"/>
  <c r="E939" i="2"/>
  <c r="L939" i="2" s="1"/>
  <c r="D939" i="2"/>
  <c r="C939" i="2"/>
  <c r="B939" i="2"/>
  <c r="A939" i="2"/>
  <c r="E1227" i="2"/>
  <c r="L1227" i="2" s="1"/>
  <c r="D1227" i="2"/>
  <c r="C1227" i="2"/>
  <c r="B1227" i="2"/>
  <c r="A1227" i="2"/>
  <c r="E1465" i="2"/>
  <c r="L1465" i="2" s="1"/>
  <c r="D1465" i="2"/>
  <c r="C1465" i="2"/>
  <c r="B1465" i="2"/>
  <c r="A1465" i="2"/>
  <c r="E1742" i="2"/>
  <c r="L1742" i="2" s="1"/>
  <c r="D1742" i="2"/>
  <c r="C1742" i="2"/>
  <c r="B1742" i="2"/>
  <c r="A1742" i="2"/>
  <c r="E102" i="2"/>
  <c r="L102" i="2" s="1"/>
  <c r="O102" i="2" s="1"/>
  <c r="D102" i="2"/>
  <c r="C102" i="2"/>
  <c r="B102" i="2"/>
  <c r="A102" i="2"/>
  <c r="E1429" i="2"/>
  <c r="L1429" i="2" s="1"/>
  <c r="D1429" i="2"/>
  <c r="C1429" i="2"/>
  <c r="B1429" i="2"/>
  <c r="A1429" i="2"/>
  <c r="E1239" i="2"/>
  <c r="L1239" i="2" s="1"/>
  <c r="O1239" i="2" s="1"/>
  <c r="D1239" i="2"/>
  <c r="C1239" i="2"/>
  <c r="B1239" i="2"/>
  <c r="A1239" i="2"/>
  <c r="E1606" i="2"/>
  <c r="L1606" i="2" s="1"/>
  <c r="D1606" i="2"/>
  <c r="C1606" i="2"/>
  <c r="B1606" i="2"/>
  <c r="A1606" i="2"/>
  <c r="E1437" i="2"/>
  <c r="L1437" i="2" s="1"/>
  <c r="O1437" i="2" s="1"/>
  <c r="D1437" i="2"/>
  <c r="C1437" i="2"/>
  <c r="B1437" i="2"/>
  <c r="A1437" i="2"/>
  <c r="E660" i="2"/>
  <c r="L660" i="2" s="1"/>
  <c r="D660" i="2"/>
  <c r="C660" i="2"/>
  <c r="B660" i="2"/>
  <c r="A660" i="2"/>
  <c r="E1041" i="2"/>
  <c r="L1041" i="2" s="1"/>
  <c r="O1041" i="2" s="1"/>
  <c r="D1041" i="2"/>
  <c r="B1041" i="2"/>
  <c r="A1041" i="2"/>
  <c r="E599" i="2"/>
  <c r="D599" i="2"/>
  <c r="C599" i="2"/>
  <c r="B599" i="2"/>
  <c r="A599" i="2"/>
  <c r="E926" i="2"/>
  <c r="D926" i="2"/>
  <c r="C926" i="2"/>
  <c r="B926" i="2"/>
  <c r="A926" i="2"/>
  <c r="E730" i="2"/>
  <c r="L730" i="2" s="1"/>
  <c r="D730" i="2"/>
  <c r="C730" i="2"/>
  <c r="B730" i="2"/>
  <c r="A730" i="2"/>
  <c r="E889" i="2"/>
  <c r="L889" i="2" s="1"/>
  <c r="O889" i="2" s="1"/>
  <c r="D889" i="2"/>
  <c r="B889" i="2"/>
  <c r="A889" i="2"/>
  <c r="E428" i="2"/>
  <c r="L428" i="2" s="1"/>
  <c r="O428" i="2" s="1"/>
  <c r="D428" i="2"/>
  <c r="B428" i="2"/>
  <c r="A428" i="2"/>
  <c r="E1433" i="2"/>
  <c r="D1433" i="2"/>
  <c r="C1433" i="2"/>
  <c r="B1433" i="2"/>
  <c r="A1433" i="2"/>
  <c r="E366" i="2"/>
  <c r="L366" i="2" s="1"/>
  <c r="O366" i="2" s="1"/>
  <c r="D366" i="2"/>
  <c r="B366" i="2"/>
  <c r="A366" i="2"/>
  <c r="E1605" i="2"/>
  <c r="L1605" i="2" s="1"/>
  <c r="D1605" i="2"/>
  <c r="C1605" i="2"/>
  <c r="B1605" i="2"/>
  <c r="A1605" i="2"/>
  <c r="E1781" i="2"/>
  <c r="L1781" i="2" s="1"/>
  <c r="O1781" i="2" s="1"/>
  <c r="D1781" i="2"/>
  <c r="C1781" i="2"/>
  <c r="B1781" i="2"/>
  <c r="A1781" i="2"/>
  <c r="E1310" i="2"/>
  <c r="L1310" i="2" s="1"/>
  <c r="O1310" i="2" s="1"/>
  <c r="D1310" i="2"/>
  <c r="B1310" i="2"/>
  <c r="A1310" i="2"/>
  <c r="E809" i="2"/>
  <c r="L809" i="2" s="1"/>
  <c r="O809" i="2" s="1"/>
  <c r="D809" i="2"/>
  <c r="C809" i="2"/>
  <c r="B809" i="2"/>
  <c r="A809" i="2"/>
  <c r="E269" i="2"/>
  <c r="L269" i="2" s="1"/>
  <c r="O269" i="2" s="1"/>
  <c r="D269" i="2"/>
  <c r="B269" i="2"/>
  <c r="A269" i="2"/>
  <c r="E808" i="2"/>
  <c r="L808" i="2" s="1"/>
  <c r="D808" i="2"/>
  <c r="C808" i="2"/>
  <c r="B808" i="2"/>
  <c r="A808" i="2"/>
  <c r="E1664" i="2"/>
  <c r="D1664" i="2"/>
  <c r="B1664" i="2"/>
  <c r="A1664" i="2"/>
  <c r="E346" i="2"/>
  <c r="L346" i="2" s="1"/>
  <c r="O346" i="2" s="1"/>
  <c r="D346" i="2"/>
  <c r="B346" i="2"/>
  <c r="A346" i="2"/>
  <c r="E436" i="2"/>
  <c r="L436" i="2" s="1"/>
  <c r="O436" i="2" s="1"/>
  <c r="D436" i="2"/>
  <c r="B436" i="2"/>
  <c r="A436" i="2"/>
  <c r="E1180" i="2"/>
  <c r="L1180" i="2" s="1"/>
  <c r="D1180" i="2"/>
  <c r="B1180" i="2"/>
  <c r="A1180" i="2"/>
  <c r="E747" i="2"/>
  <c r="L747" i="2" s="1"/>
  <c r="O747" i="2" s="1"/>
  <c r="D747" i="2"/>
  <c r="B747" i="2"/>
  <c r="A747" i="2"/>
  <c r="E479" i="2"/>
  <c r="L479" i="2" s="1"/>
  <c r="D479" i="2"/>
  <c r="C479" i="2"/>
  <c r="B479" i="2"/>
  <c r="A479" i="2"/>
  <c r="E127" i="2"/>
  <c r="L127" i="2" s="1"/>
  <c r="O127" i="2" s="1"/>
  <c r="D127" i="2"/>
  <c r="B127" i="2"/>
  <c r="A127" i="2"/>
  <c r="E478" i="2"/>
  <c r="L478" i="2" s="1"/>
  <c r="O478" i="2" s="1"/>
  <c r="D478" i="2"/>
  <c r="C478" i="2"/>
  <c r="B478" i="2"/>
  <c r="A478" i="2"/>
  <c r="E1573" i="2"/>
  <c r="L1573" i="2" s="1"/>
  <c r="D1573" i="2"/>
  <c r="C1573" i="2"/>
  <c r="B1573" i="2"/>
  <c r="A1573" i="2"/>
  <c r="E1572" i="2"/>
  <c r="L1572" i="2" s="1"/>
  <c r="O1572" i="2" s="1"/>
  <c r="D1572" i="2"/>
  <c r="B1572" i="2"/>
  <c r="A1572" i="2"/>
  <c r="E1718" i="2"/>
  <c r="D1718" i="2"/>
  <c r="C1718" i="2"/>
  <c r="B1718" i="2"/>
  <c r="A1718" i="2"/>
  <c r="E921" i="2"/>
  <c r="L921" i="2" s="1"/>
  <c r="O921" i="2" s="1"/>
  <c r="D921" i="2"/>
  <c r="C921" i="2"/>
  <c r="B921" i="2"/>
  <c r="A921" i="2"/>
  <c r="E1278" i="2"/>
  <c r="D1278" i="2"/>
  <c r="B1278" i="2"/>
  <c r="A1278" i="2"/>
  <c r="E1009" i="2"/>
  <c r="L1009" i="2" s="1"/>
  <c r="O1009" i="2" s="1"/>
  <c r="D1009" i="2"/>
  <c r="B1009" i="2"/>
  <c r="A1009" i="2"/>
  <c r="E1778" i="2"/>
  <c r="D1778" i="2"/>
  <c r="B1778" i="2"/>
  <c r="A1778" i="2"/>
  <c r="E153" i="2"/>
  <c r="D153" i="2"/>
  <c r="C153" i="2"/>
  <c r="B153" i="2"/>
  <c r="A153" i="2"/>
  <c r="E1171" i="2"/>
  <c r="L1171" i="2" s="1"/>
  <c r="D1171" i="2"/>
  <c r="B1171" i="2"/>
  <c r="A1171" i="2"/>
  <c r="E511" i="2"/>
  <c r="L511" i="2" s="1"/>
  <c r="D511" i="2"/>
  <c r="B511" i="2"/>
  <c r="A511" i="2"/>
  <c r="E632" i="2"/>
  <c r="L632" i="2" s="1"/>
  <c r="O632" i="2" s="1"/>
  <c r="D632" i="2"/>
  <c r="B632" i="2"/>
  <c r="A632" i="2"/>
  <c r="E1780" i="2"/>
  <c r="L1780" i="2" s="1"/>
  <c r="O1780" i="2" s="1"/>
  <c r="D1780" i="2"/>
  <c r="C1780" i="2"/>
  <c r="B1780" i="2"/>
  <c r="A1780" i="2"/>
  <c r="E983" i="2"/>
  <c r="D983" i="2"/>
  <c r="B983" i="2"/>
  <c r="A983" i="2"/>
  <c r="E631" i="2"/>
  <c r="L631" i="2" s="1"/>
  <c r="D631" i="2"/>
  <c r="B631" i="2"/>
  <c r="A631" i="2"/>
  <c r="E1448" i="2"/>
  <c r="D1448" i="2"/>
  <c r="C1448" i="2"/>
  <c r="B1448" i="2"/>
  <c r="A1448" i="2"/>
  <c r="E377" i="2"/>
  <c r="L377" i="2" s="1"/>
  <c r="D377" i="2"/>
  <c r="B377" i="2"/>
  <c r="A377" i="2"/>
  <c r="E1749" i="2"/>
  <c r="L1749" i="2" s="1"/>
  <c r="O1749" i="2" s="1"/>
  <c r="D1749" i="2"/>
  <c r="B1749" i="2"/>
  <c r="A1749" i="2"/>
  <c r="E746" i="2"/>
  <c r="L746" i="2" s="1"/>
  <c r="O746" i="2" s="1"/>
  <c r="D746" i="2"/>
  <c r="C746" i="2"/>
  <c r="B746" i="2"/>
  <c r="A746" i="2"/>
  <c r="E82" i="2"/>
  <c r="D82" i="2"/>
  <c r="B82" i="2"/>
  <c r="A82" i="2"/>
  <c r="E1406" i="2"/>
  <c r="L1406" i="2" s="1"/>
  <c r="D1406" i="2"/>
  <c r="C1406" i="2"/>
  <c r="B1406" i="2"/>
  <c r="A1406" i="2"/>
  <c r="E738" i="2"/>
  <c r="D738" i="2"/>
  <c r="B738" i="2"/>
  <c r="A738" i="2"/>
  <c r="E799" i="2"/>
  <c r="L799" i="2" s="1"/>
  <c r="O799" i="2" s="1"/>
  <c r="D799" i="2"/>
  <c r="B799" i="2"/>
  <c r="A799" i="2"/>
  <c r="E1765" i="2"/>
  <c r="L1765" i="2" s="1"/>
  <c r="O1765" i="2" s="1"/>
  <c r="D1765" i="2"/>
  <c r="C1765" i="2"/>
  <c r="B1765" i="2"/>
  <c r="A1765" i="2"/>
  <c r="E925" i="2"/>
  <c r="D925" i="2"/>
  <c r="C925" i="2"/>
  <c r="B925" i="2"/>
  <c r="A925" i="2"/>
  <c r="E295" i="2"/>
  <c r="L295" i="2" s="1"/>
  <c r="O295" i="2" s="1"/>
  <c r="D295" i="2"/>
  <c r="B295" i="2"/>
  <c r="A295" i="2"/>
  <c r="E527" i="2"/>
  <c r="L527" i="2" s="1"/>
  <c r="O527" i="2" s="1"/>
  <c r="D527" i="2"/>
  <c r="C527" i="2"/>
  <c r="B527" i="2"/>
  <c r="A527" i="2"/>
  <c r="E345" i="2"/>
  <c r="L345" i="2" s="1"/>
  <c r="O345" i="2" s="1"/>
  <c r="D345" i="2"/>
  <c r="C345" i="2"/>
  <c r="B345" i="2"/>
  <c r="A345" i="2"/>
  <c r="E936" i="2"/>
  <c r="L936" i="2" s="1"/>
  <c r="O936" i="2" s="1"/>
  <c r="D936" i="2"/>
  <c r="C936" i="2"/>
  <c r="B936" i="2"/>
  <c r="A936" i="2"/>
  <c r="E1396" i="2"/>
  <c r="D1396" i="2"/>
  <c r="B1396" i="2"/>
  <c r="A1396" i="2"/>
  <c r="E698" i="2"/>
  <c r="L698" i="2" s="1"/>
  <c r="O698" i="2" s="1"/>
  <c r="D698" i="2"/>
  <c r="C698" i="2"/>
  <c r="B698" i="2"/>
  <c r="A698" i="2"/>
  <c r="E278" i="2"/>
  <c r="L278" i="2" s="1"/>
  <c r="O278" i="2" s="1"/>
  <c r="D278" i="2"/>
  <c r="C278" i="2"/>
  <c r="B278" i="2"/>
  <c r="A278" i="2"/>
  <c r="E1741" i="2"/>
  <c r="L1741" i="2" s="1"/>
  <c r="O1741" i="2" s="1"/>
  <c r="D1741" i="2"/>
  <c r="C1741" i="2"/>
  <c r="B1741" i="2"/>
  <c r="A1741" i="2"/>
  <c r="E373" i="2"/>
  <c r="D373" i="2"/>
  <c r="C373" i="2"/>
  <c r="B373" i="2"/>
  <c r="A373" i="2"/>
  <c r="E77" i="2"/>
  <c r="D77" i="2"/>
  <c r="B77" i="2"/>
  <c r="A77" i="2"/>
  <c r="E735" i="2"/>
  <c r="L735" i="2" s="1"/>
  <c r="O735" i="2" s="1"/>
  <c r="D735" i="2"/>
  <c r="C735" i="2"/>
  <c r="B735" i="2"/>
  <c r="A735" i="2"/>
  <c r="E1494" i="2"/>
  <c r="L1494" i="2" s="1"/>
  <c r="D1494" i="2"/>
  <c r="C1494" i="2"/>
  <c r="B1494" i="2"/>
  <c r="A1494" i="2"/>
  <c r="E1067" i="2"/>
  <c r="L1067" i="2" s="1"/>
  <c r="O1067" i="2" s="1"/>
  <c r="D1067" i="2"/>
  <c r="B1067" i="2"/>
  <c r="A1067" i="2"/>
  <c r="E927" i="2"/>
  <c r="L927" i="2" s="1"/>
  <c r="D927" i="2"/>
  <c r="B927" i="2"/>
  <c r="A927" i="2"/>
  <c r="E727" i="2"/>
  <c r="L727" i="2" s="1"/>
  <c r="D727" i="2"/>
  <c r="B727" i="2"/>
  <c r="A727" i="2"/>
  <c r="E172" i="2"/>
  <c r="D172" i="2"/>
  <c r="C172" i="2"/>
  <c r="B172" i="2"/>
  <c r="A172" i="2"/>
  <c r="E1226" i="2"/>
  <c r="L1226" i="2" s="1"/>
  <c r="O1226" i="2" s="1"/>
  <c r="D1226" i="2"/>
  <c r="B1226" i="2"/>
  <c r="A1226" i="2"/>
  <c r="E887" i="2"/>
  <c r="D887" i="2"/>
  <c r="B887" i="2"/>
  <c r="A887" i="2"/>
  <c r="E938" i="2"/>
  <c r="L938" i="2" s="1"/>
  <c r="D938" i="2"/>
  <c r="B938" i="2"/>
  <c r="A938" i="2"/>
  <c r="E1435" i="2"/>
  <c r="L1435" i="2" s="1"/>
  <c r="D1435" i="2"/>
  <c r="C1435" i="2"/>
  <c r="B1435" i="2"/>
  <c r="A1435" i="2"/>
  <c r="E937" i="2"/>
  <c r="D937" i="2"/>
  <c r="C937" i="2"/>
  <c r="B937" i="2"/>
  <c r="A937" i="2"/>
  <c r="E1555" i="2"/>
  <c r="L1555" i="2" s="1"/>
  <c r="O1555" i="2" s="1"/>
  <c r="D1555" i="2"/>
  <c r="C1555" i="2"/>
  <c r="B1555" i="2"/>
  <c r="A1555" i="2"/>
  <c r="E453" i="2"/>
  <c r="L453" i="2" s="1"/>
  <c r="O453" i="2" s="1"/>
  <c r="D453" i="2"/>
  <c r="C453" i="2"/>
  <c r="B453" i="2"/>
  <c r="A453" i="2"/>
  <c r="E164" i="2"/>
  <c r="L164" i="2" s="1"/>
  <c r="O164" i="2" s="1"/>
  <c r="D164" i="2"/>
  <c r="B164" i="2"/>
  <c r="A164" i="2"/>
  <c r="E1764" i="2"/>
  <c r="L1764" i="2" s="1"/>
  <c r="D1764" i="2"/>
  <c r="C1764" i="2"/>
  <c r="B1764" i="2"/>
  <c r="A1764" i="2"/>
  <c r="E1369" i="2"/>
  <c r="L1369" i="2" s="1"/>
  <c r="D1369" i="2"/>
  <c r="B1369" i="2"/>
  <c r="A1369" i="2"/>
  <c r="E163" i="2"/>
  <c r="L163" i="2" s="1"/>
  <c r="O163" i="2" s="1"/>
  <c r="D163" i="2"/>
  <c r="C163" i="2"/>
  <c r="B163" i="2"/>
  <c r="A163" i="2"/>
  <c r="E1271" i="2"/>
  <c r="L1271" i="2" s="1"/>
  <c r="D1271" i="2"/>
  <c r="B1271" i="2"/>
  <c r="A1271" i="2"/>
  <c r="E1470" i="2"/>
  <c r="D1470" i="2"/>
  <c r="C1470" i="2"/>
  <c r="B1470" i="2"/>
  <c r="A1470" i="2"/>
  <c r="E1299" i="2"/>
  <c r="L1299" i="2" s="1"/>
  <c r="O1299" i="2" s="1"/>
  <c r="D1299" i="2"/>
  <c r="C1299" i="2"/>
  <c r="B1299" i="2"/>
  <c r="A1299" i="2"/>
  <c r="E816" i="2"/>
  <c r="D816" i="2"/>
  <c r="C816" i="2"/>
  <c r="B816" i="2"/>
  <c r="A816" i="2"/>
  <c r="E521" i="2"/>
  <c r="L521" i="2" s="1"/>
  <c r="D521" i="2"/>
  <c r="B521" i="2"/>
  <c r="A521" i="2"/>
  <c r="E1088" i="2"/>
  <c r="L1088" i="2" s="1"/>
  <c r="O1088" i="2" s="1"/>
  <c r="D1088" i="2"/>
  <c r="B1088" i="2"/>
  <c r="A1088" i="2"/>
  <c r="E598" i="2"/>
  <c r="D598" i="2"/>
  <c r="C598" i="2"/>
  <c r="B598" i="2"/>
  <c r="A598" i="2"/>
  <c r="E924" i="2"/>
  <c r="D924" i="2"/>
  <c r="C924" i="2"/>
  <c r="B924" i="2"/>
  <c r="A924" i="2"/>
  <c r="E1789" i="2"/>
  <c r="L1789" i="2" s="1"/>
  <c r="D1789" i="2"/>
  <c r="C1789" i="2"/>
  <c r="B1789" i="2"/>
  <c r="A1789" i="2"/>
  <c r="E1008" i="2"/>
  <c r="L1008" i="2" s="1"/>
  <c r="D1008" i="2"/>
  <c r="B1008" i="2"/>
  <c r="A1008" i="2"/>
  <c r="E875" i="2"/>
  <c r="L875" i="2" s="1"/>
  <c r="O875" i="2" s="1"/>
  <c r="D875" i="2"/>
  <c r="C875" i="2"/>
  <c r="B875" i="2"/>
  <c r="A875" i="2"/>
  <c r="E188" i="2"/>
  <c r="L188" i="2" s="1"/>
  <c r="O188" i="2" s="1"/>
  <c r="D188" i="2"/>
  <c r="B188" i="2"/>
  <c r="A188" i="2"/>
  <c r="E1488" i="2"/>
  <c r="L1488" i="2" s="1"/>
  <c r="O1488" i="2" s="1"/>
  <c r="D1488" i="2"/>
  <c r="C1488" i="2"/>
  <c r="B1488" i="2"/>
  <c r="A1488" i="2"/>
  <c r="E880" i="2"/>
  <c r="D880" i="2"/>
  <c r="C880" i="2"/>
  <c r="B880" i="2"/>
  <c r="A880" i="2"/>
  <c r="E331" i="2"/>
  <c r="L331" i="2" s="1"/>
  <c r="O331" i="2" s="1"/>
  <c r="D331" i="2"/>
  <c r="B331" i="2"/>
  <c r="A331" i="2"/>
  <c r="E192" i="2"/>
  <c r="L192" i="2" s="1"/>
  <c r="D192" i="2"/>
  <c r="C192" i="2"/>
  <c r="B192" i="2"/>
  <c r="A192" i="2"/>
  <c r="E1389" i="2"/>
  <c r="L1389" i="2" s="1"/>
  <c r="D1389" i="2"/>
  <c r="C1389" i="2"/>
  <c r="B1389" i="2"/>
  <c r="A1389" i="2"/>
  <c r="E798" i="2"/>
  <c r="L798" i="2" s="1"/>
  <c r="O798" i="2" s="1"/>
  <c r="D798" i="2"/>
  <c r="B798" i="2"/>
  <c r="A798" i="2"/>
  <c r="E1405" i="2"/>
  <c r="L1405" i="2" s="1"/>
  <c r="O1405" i="2" s="1"/>
  <c r="D1405" i="2"/>
  <c r="C1405" i="2"/>
  <c r="B1405" i="2"/>
  <c r="A1405" i="2"/>
  <c r="E1739" i="2"/>
  <c r="D1739" i="2"/>
  <c r="B1739" i="2"/>
  <c r="A1739" i="2"/>
  <c r="E697" i="2"/>
  <c r="L697" i="2" s="1"/>
  <c r="D697" i="2"/>
  <c r="C697" i="2"/>
  <c r="B697" i="2"/>
  <c r="A697" i="2"/>
  <c r="E473" i="2"/>
  <c r="D473" i="2"/>
  <c r="C473" i="2"/>
  <c r="B473" i="2"/>
  <c r="A473" i="2"/>
  <c r="E121" i="2"/>
  <c r="D121" i="2"/>
  <c r="B121" i="2"/>
  <c r="A121" i="2"/>
  <c r="E805" i="2"/>
  <c r="L805" i="2" s="1"/>
  <c r="D805" i="2"/>
  <c r="C805" i="2"/>
  <c r="B805" i="2"/>
  <c r="A805" i="2"/>
  <c r="E1393" i="2"/>
  <c r="L1393" i="2" s="1"/>
  <c r="O1393" i="2" s="1"/>
  <c r="D1393" i="2"/>
  <c r="B1393" i="2"/>
  <c r="A1393" i="2"/>
  <c r="E371" i="2"/>
  <c r="L371" i="2" s="1"/>
  <c r="O371" i="2" s="1"/>
  <c r="D371" i="2"/>
  <c r="B371" i="2"/>
  <c r="A371" i="2"/>
  <c r="E191" i="2"/>
  <c r="L191" i="2" s="1"/>
  <c r="O191" i="2" s="1"/>
  <c r="D191" i="2"/>
  <c r="B191" i="2"/>
  <c r="A191" i="2"/>
  <c r="E817" i="2"/>
  <c r="L817" i="2" s="1"/>
  <c r="O817" i="2" s="1"/>
  <c r="D817" i="2"/>
  <c r="C817" i="2"/>
  <c r="B817" i="2"/>
  <c r="A817" i="2"/>
  <c r="E857" i="2"/>
  <c r="L857" i="2" s="1"/>
  <c r="D857" i="2"/>
  <c r="B857" i="2"/>
  <c r="A857" i="2"/>
  <c r="E435" i="2"/>
  <c r="L435" i="2" s="1"/>
  <c r="O435" i="2" s="1"/>
  <c r="D435" i="2"/>
  <c r="C435" i="2"/>
  <c r="B435" i="2"/>
  <c r="A435" i="2"/>
  <c r="E427" i="2"/>
  <c r="L427" i="2" s="1"/>
  <c r="O427" i="2" s="1"/>
  <c r="D427" i="2"/>
  <c r="C427" i="2"/>
  <c r="B427" i="2"/>
  <c r="A427" i="2"/>
  <c r="E1168" i="2"/>
  <c r="D1168" i="2"/>
  <c r="B1168" i="2"/>
  <c r="A1168" i="2"/>
  <c r="E1446" i="2"/>
  <c r="D1446" i="2"/>
  <c r="C1446" i="2"/>
  <c r="B1446" i="2"/>
  <c r="A1446" i="2"/>
  <c r="E224" i="2"/>
  <c r="D224" i="2"/>
  <c r="B224" i="2"/>
  <c r="A224" i="2"/>
  <c r="E553" i="2"/>
  <c r="L553" i="2" s="1"/>
  <c r="O553" i="2" s="1"/>
  <c r="D553" i="2"/>
  <c r="B553" i="2"/>
  <c r="A553" i="2"/>
  <c r="E301" i="2"/>
  <c r="L301" i="2" s="1"/>
  <c r="D301" i="2"/>
  <c r="C301" i="2"/>
  <c r="B301" i="2"/>
  <c r="A301" i="2"/>
  <c r="E203" i="2"/>
  <c r="D203" i="2"/>
  <c r="C203" i="2"/>
  <c r="B203" i="2"/>
  <c r="A203" i="2"/>
  <c r="E1402" i="2"/>
  <c r="L1402" i="2" s="1"/>
  <c r="O1402" i="2" s="1"/>
  <c r="D1402" i="2"/>
  <c r="B1402" i="2"/>
  <c r="A1402" i="2"/>
  <c r="E112" i="2"/>
  <c r="D112" i="2"/>
  <c r="C112" i="2"/>
  <c r="B112" i="2"/>
  <c r="A112" i="2"/>
  <c r="E126" i="2"/>
  <c r="D126" i="2"/>
  <c r="C126" i="2"/>
  <c r="B126" i="2"/>
  <c r="A126" i="2"/>
  <c r="E1085" i="2"/>
  <c r="L1085" i="2" s="1"/>
  <c r="O1085" i="2" s="1"/>
  <c r="D1085" i="2"/>
  <c r="C1085" i="2"/>
  <c r="B1085" i="2"/>
  <c r="A1085" i="2"/>
  <c r="E1720" i="2"/>
  <c r="L1720" i="2" s="1"/>
  <c r="D1720" i="2"/>
  <c r="C1720" i="2"/>
  <c r="B1720" i="2"/>
  <c r="A1720" i="2"/>
  <c r="E1604" i="2"/>
  <c r="L1604" i="2" s="1"/>
  <c r="O1604" i="2" s="1"/>
  <c r="D1604" i="2"/>
  <c r="C1604" i="2"/>
  <c r="B1604" i="2"/>
  <c r="A1604" i="2"/>
  <c r="E1450" i="2"/>
  <c r="L1450" i="2" s="1"/>
  <c r="D1450" i="2"/>
  <c r="C1450" i="2"/>
  <c r="B1450" i="2"/>
  <c r="A1450" i="2"/>
  <c r="E992" i="2"/>
  <c r="L992" i="2" s="1"/>
  <c r="D992" i="2"/>
  <c r="C992" i="2"/>
  <c r="B992" i="2"/>
  <c r="A992" i="2"/>
  <c r="E935" i="2"/>
  <c r="L935" i="2" s="1"/>
  <c r="D935" i="2"/>
  <c r="C935" i="2"/>
  <c r="B935" i="2"/>
  <c r="A935" i="2"/>
  <c r="E406" i="2"/>
  <c r="L406" i="2" s="1"/>
  <c r="O406" i="2" s="1"/>
  <c r="D406" i="2"/>
  <c r="C406" i="2"/>
  <c r="B406" i="2"/>
  <c r="A406" i="2"/>
  <c r="E210" i="2"/>
  <c r="L210" i="2" s="1"/>
  <c r="D210" i="2"/>
  <c r="C210" i="2"/>
  <c r="B210" i="2"/>
  <c r="A210" i="2"/>
  <c r="E500" i="2"/>
  <c r="L500" i="2" s="1"/>
  <c r="O500" i="2" s="1"/>
  <c r="D500" i="2"/>
  <c r="C500" i="2"/>
  <c r="B500" i="2"/>
  <c r="A500" i="2"/>
  <c r="E232" i="2"/>
  <c r="L232" i="2" s="1"/>
  <c r="O232" i="2" s="1"/>
  <c r="D232" i="2"/>
  <c r="C232" i="2"/>
  <c r="B232" i="2"/>
  <c r="A232" i="2"/>
  <c r="E129" i="2"/>
  <c r="L129" i="2" s="1"/>
  <c r="O129" i="2" s="1"/>
  <c r="D129" i="2"/>
  <c r="C129" i="2"/>
  <c r="B129" i="2"/>
  <c r="A129" i="2"/>
  <c r="E920" i="2"/>
  <c r="L920" i="2" s="1"/>
  <c r="D920" i="2"/>
  <c r="C920" i="2"/>
  <c r="B920" i="2"/>
  <c r="A920" i="2"/>
  <c r="E1066" i="2"/>
  <c r="L1066" i="2" s="1"/>
  <c r="O1066" i="2" s="1"/>
  <c r="D1066" i="2"/>
  <c r="C1066" i="2"/>
  <c r="B1066" i="2"/>
  <c r="A1066" i="2"/>
  <c r="E1065" i="2"/>
  <c r="L1065" i="2" s="1"/>
  <c r="D1065" i="2"/>
  <c r="C1065" i="2"/>
  <c r="B1065" i="2"/>
  <c r="A1065" i="2"/>
  <c r="E1346" i="2"/>
  <c r="L1346" i="2" s="1"/>
  <c r="O1346" i="2" s="1"/>
  <c r="D1346" i="2"/>
  <c r="C1346" i="2"/>
  <c r="B1346" i="2"/>
  <c r="A1346" i="2"/>
  <c r="E1285" i="2"/>
  <c r="L1285" i="2" s="1"/>
  <c r="O1285" i="2" s="1"/>
  <c r="D1285" i="2"/>
  <c r="C1285" i="2"/>
  <c r="B1285" i="2"/>
  <c r="A1285" i="2"/>
  <c r="E1119" i="2"/>
  <c r="D1119" i="2"/>
  <c r="C1119" i="2"/>
  <c r="B1119" i="2"/>
  <c r="A1119" i="2"/>
  <c r="E1364" i="2"/>
  <c r="D1364" i="2"/>
  <c r="C1364" i="2"/>
  <c r="B1364" i="2"/>
  <c r="A1364" i="2"/>
  <c r="E296" i="2"/>
  <c r="L296" i="2" s="1"/>
  <c r="O296" i="2" s="1"/>
  <c r="D296" i="2"/>
  <c r="C296" i="2"/>
  <c r="B296" i="2"/>
  <c r="A296" i="2"/>
  <c r="E783" i="2"/>
  <c r="D783" i="2"/>
  <c r="B783" i="2"/>
  <c r="A783" i="2"/>
  <c r="E177" i="2"/>
  <c r="L177" i="2" s="1"/>
  <c r="O177" i="2" s="1"/>
  <c r="D177" i="2"/>
  <c r="B177" i="2"/>
  <c r="A177" i="2"/>
  <c r="E1311" i="2"/>
  <c r="D1311" i="2"/>
  <c r="C1311" i="2"/>
  <c r="B1311" i="2"/>
  <c r="A1311" i="2"/>
  <c r="E567" i="2"/>
  <c r="L567" i="2" s="1"/>
  <c r="O567" i="2" s="1"/>
  <c r="D567" i="2"/>
  <c r="B567" i="2"/>
  <c r="A567" i="2"/>
  <c r="E423" i="2"/>
  <c r="D423" i="2"/>
  <c r="C423" i="2"/>
  <c r="B423" i="2"/>
  <c r="A423" i="2"/>
  <c r="E247" i="2"/>
  <c r="L247" i="2" s="1"/>
  <c r="D247" i="2"/>
  <c r="B247" i="2"/>
  <c r="A247" i="2"/>
  <c r="E726" i="2"/>
  <c r="L726" i="2" s="1"/>
  <c r="O726" i="2" s="1"/>
  <c r="D726" i="2"/>
  <c r="C726" i="2"/>
  <c r="B726" i="2"/>
  <c r="A726" i="2"/>
  <c r="E1523" i="2"/>
  <c r="L1523" i="2" s="1"/>
  <c r="O1523" i="2" s="1"/>
  <c r="D1523" i="2"/>
  <c r="C1523" i="2"/>
  <c r="B1523" i="2"/>
  <c r="A1523" i="2"/>
  <c r="E1685" i="2"/>
  <c r="L1685" i="2" s="1"/>
  <c r="O1685" i="2" s="1"/>
  <c r="D1685" i="2"/>
  <c r="C1685" i="2"/>
  <c r="B1685" i="2"/>
  <c r="A1685" i="2"/>
  <c r="E1136" i="2"/>
  <c r="L1136" i="2" s="1"/>
  <c r="O1136" i="2" s="1"/>
  <c r="D1136" i="2"/>
  <c r="C1136" i="2"/>
  <c r="B1136" i="2"/>
  <c r="A1136" i="2"/>
  <c r="E873" i="2"/>
  <c r="D873" i="2"/>
  <c r="B873" i="2"/>
  <c r="A873" i="2"/>
  <c r="E1179" i="2"/>
  <c r="L1179" i="2" s="1"/>
  <c r="O1179" i="2" s="1"/>
  <c r="D1179" i="2"/>
  <c r="C1179" i="2"/>
  <c r="B1179" i="2"/>
  <c r="A1179" i="2"/>
  <c r="E1228" i="2"/>
  <c r="L1228" i="2" s="1"/>
  <c r="D1228" i="2"/>
  <c r="C1228" i="2"/>
  <c r="B1228" i="2"/>
  <c r="A1228" i="2"/>
  <c r="E1603" i="2"/>
  <c r="L1603" i="2" s="1"/>
  <c r="O1603" i="2" s="1"/>
  <c r="D1603" i="2"/>
  <c r="C1603" i="2"/>
  <c r="B1603" i="2"/>
  <c r="A1603" i="2"/>
  <c r="E24" i="2"/>
  <c r="D24" i="2"/>
  <c r="C24" i="2"/>
  <c r="B24" i="2"/>
  <c r="A24" i="2"/>
  <c r="E222" i="2"/>
  <c r="D222" i="2"/>
  <c r="C222" i="2"/>
  <c r="B222" i="2"/>
  <c r="A222" i="2"/>
  <c r="E18" i="2"/>
  <c r="D18" i="2"/>
  <c r="C18" i="2"/>
  <c r="B18" i="2"/>
  <c r="A18" i="2"/>
  <c r="E223" i="2"/>
  <c r="D223" i="2"/>
  <c r="C223" i="2"/>
  <c r="B223" i="2"/>
  <c r="A223" i="2"/>
  <c r="E597" i="2"/>
  <c r="D597" i="2"/>
  <c r="C597" i="2"/>
  <c r="B597" i="2"/>
  <c r="A597" i="2"/>
  <c r="E872" i="2"/>
  <c r="D872" i="2"/>
  <c r="C872" i="2"/>
  <c r="B872" i="2"/>
  <c r="A872" i="2"/>
  <c r="E1442" i="2"/>
  <c r="D1442" i="2"/>
  <c r="C1442" i="2"/>
  <c r="B1442" i="2"/>
  <c r="A1442" i="2"/>
  <c r="E1632" i="2"/>
  <c r="D1632" i="2"/>
  <c r="C1632" i="2"/>
  <c r="B1632" i="2"/>
  <c r="A1632" i="2"/>
  <c r="E1349" i="2"/>
  <c r="L1349" i="2" s="1"/>
  <c r="D1349" i="2"/>
  <c r="C1349" i="2"/>
  <c r="B1349" i="2"/>
  <c r="A1349" i="2"/>
  <c r="E1456" i="2"/>
  <c r="L1456" i="2" s="1"/>
  <c r="D1456" i="2"/>
  <c r="C1456" i="2"/>
  <c r="B1456" i="2"/>
  <c r="A1456" i="2"/>
  <c r="E125" i="2"/>
  <c r="D125" i="2"/>
  <c r="C125" i="2"/>
  <c r="B125" i="2"/>
  <c r="A125" i="2"/>
  <c r="E119" i="2"/>
  <c r="L119" i="2" s="1"/>
  <c r="O119" i="2" s="1"/>
  <c r="D119" i="2"/>
  <c r="C119" i="2"/>
  <c r="B119" i="2"/>
  <c r="A119" i="2"/>
  <c r="E501" i="2"/>
  <c r="D501" i="2"/>
  <c r="C501" i="2"/>
  <c r="B501" i="2"/>
  <c r="A501" i="2"/>
  <c r="E1397" i="2"/>
  <c r="D1397" i="2"/>
  <c r="C1397" i="2"/>
  <c r="B1397" i="2"/>
  <c r="A1397" i="2"/>
  <c r="E162" i="2"/>
  <c r="L162" i="2" s="1"/>
  <c r="D162" i="2"/>
  <c r="B162" i="2"/>
  <c r="A162" i="2"/>
  <c r="E870" i="2"/>
  <c r="L870" i="2" s="1"/>
  <c r="O870" i="2" s="1"/>
  <c r="D870" i="2"/>
  <c r="C870" i="2"/>
  <c r="B870" i="2"/>
  <c r="A870" i="2"/>
  <c r="E1847" i="2"/>
  <c r="L1847" i="2" s="1"/>
  <c r="O1847" i="2" s="1"/>
  <c r="D1847" i="2"/>
  <c r="C1847" i="2"/>
  <c r="B1847" i="2"/>
  <c r="A1847" i="2"/>
  <c r="E520" i="2"/>
  <c r="L520" i="2" s="1"/>
  <c r="O520" i="2" s="1"/>
  <c r="D520" i="2"/>
  <c r="B520" i="2"/>
  <c r="A520" i="2"/>
  <c r="E28" i="2"/>
  <c r="L28" i="2" s="1"/>
  <c r="O28" i="2" s="1"/>
  <c r="D28" i="2"/>
  <c r="C28" i="2"/>
  <c r="B28" i="2"/>
  <c r="A28" i="2"/>
  <c r="E1040" i="2"/>
  <c r="L1040" i="2" s="1"/>
  <c r="O1040" i="2" s="1"/>
  <c r="D1040" i="2"/>
  <c r="C1040" i="2"/>
  <c r="B1040" i="2"/>
  <c r="A1040" i="2"/>
  <c r="E455" i="2"/>
  <c r="D455" i="2"/>
  <c r="B455" i="2"/>
  <c r="A455" i="2"/>
  <c r="E4" i="2"/>
  <c r="D4" i="2"/>
  <c r="C4" i="2"/>
  <c r="B4" i="2"/>
  <c r="A4" i="2"/>
  <c r="E625" i="2"/>
  <c r="D625" i="2"/>
  <c r="C625" i="2"/>
  <c r="B625" i="2"/>
  <c r="A625" i="2"/>
  <c r="E510" i="2"/>
  <c r="L510" i="2" s="1"/>
  <c r="O510" i="2" s="1"/>
  <c r="D510" i="2"/>
  <c r="B510" i="2"/>
  <c r="A510" i="2"/>
  <c r="E1434" i="2"/>
  <c r="L1434" i="2" s="1"/>
  <c r="O1434" i="2" s="1"/>
  <c r="D1434" i="2"/>
  <c r="B1434" i="2"/>
  <c r="A1434" i="2"/>
  <c r="E59" i="2"/>
  <c r="L59" i="2" s="1"/>
  <c r="O59" i="2" s="1"/>
  <c r="D59" i="2"/>
  <c r="C59" i="2"/>
  <c r="B59" i="2"/>
  <c r="A59" i="2"/>
  <c r="E1631" i="2"/>
  <c r="D1631" i="2"/>
  <c r="C1631" i="2"/>
  <c r="B1631" i="2"/>
  <c r="A1631" i="2"/>
  <c r="E1522" i="2"/>
  <c r="D1522" i="2"/>
  <c r="C1522" i="2"/>
  <c r="B1522" i="2"/>
  <c r="A1522" i="2"/>
  <c r="E1333" i="2"/>
  <c r="D1333" i="2"/>
  <c r="C1333" i="2"/>
  <c r="B1333" i="2"/>
  <c r="A1333" i="2"/>
  <c r="E562" i="2"/>
  <c r="L562" i="2" s="1"/>
  <c r="O562" i="2" s="1"/>
  <c r="D562" i="2"/>
  <c r="B562" i="2"/>
  <c r="A562" i="2"/>
  <c r="E64" i="2"/>
  <c r="D64" i="2"/>
  <c r="B64" i="2"/>
  <c r="A64" i="2"/>
  <c r="E99" i="2"/>
  <c r="D99" i="2"/>
  <c r="B99" i="2"/>
  <c r="A99" i="2"/>
  <c r="E131" i="2"/>
  <c r="D131" i="2"/>
  <c r="B131" i="2"/>
  <c r="A131" i="2"/>
  <c r="E63" i="2"/>
  <c r="D63" i="2"/>
  <c r="B63" i="2"/>
  <c r="A63" i="2"/>
  <c r="E61" i="2"/>
  <c r="D61" i="2"/>
  <c r="B61" i="2"/>
  <c r="A61" i="2"/>
  <c r="E120" i="2"/>
  <c r="D120" i="2"/>
  <c r="C120" i="2"/>
  <c r="B120" i="2"/>
  <c r="A120" i="2"/>
  <c r="E853" i="2"/>
  <c r="L853" i="2" s="1"/>
  <c r="O853" i="2" s="1"/>
  <c r="D853" i="2"/>
  <c r="C853" i="2"/>
  <c r="B853" i="2"/>
  <c r="A853" i="2"/>
  <c r="E46" i="2"/>
  <c r="L46" i="2" s="1"/>
  <c r="D46" i="2"/>
  <c r="C46" i="2"/>
  <c r="B46" i="2"/>
  <c r="A46" i="2"/>
  <c r="E405" i="2"/>
  <c r="L405" i="2" s="1"/>
  <c r="O405" i="2" s="1"/>
  <c r="D405" i="2"/>
  <c r="B405" i="2"/>
  <c r="A405" i="2"/>
  <c r="E1822" i="2"/>
  <c r="L1822" i="2" s="1"/>
  <c r="D1822" i="2"/>
  <c r="C1822" i="2"/>
  <c r="B1822" i="2"/>
  <c r="A1822" i="2"/>
  <c r="E1824" i="2"/>
  <c r="L1824" i="2" s="1"/>
  <c r="O1824" i="2" s="1"/>
  <c r="D1824" i="2"/>
  <c r="C1824" i="2"/>
  <c r="B1824" i="2"/>
  <c r="A1824" i="2"/>
  <c r="E171" i="2"/>
  <c r="D171" i="2"/>
  <c r="C171" i="2"/>
  <c r="B171" i="2"/>
  <c r="A171" i="2"/>
  <c r="E612" i="2"/>
  <c r="D612" i="2"/>
  <c r="C612" i="2"/>
  <c r="B612" i="2"/>
  <c r="A612" i="2"/>
  <c r="E1554" i="2"/>
  <c r="D1554" i="2"/>
  <c r="C1554" i="2"/>
  <c r="B1554" i="2"/>
  <c r="A1554" i="2"/>
  <c r="E13" i="2"/>
  <c r="D13" i="2"/>
  <c r="C13" i="2"/>
  <c r="B13" i="2"/>
  <c r="A13" i="2"/>
  <c r="E556" i="2"/>
  <c r="D556" i="2"/>
  <c r="C556" i="2"/>
  <c r="B556" i="2"/>
  <c r="A556" i="2"/>
  <c r="E996" i="2"/>
  <c r="L996" i="2" s="1"/>
  <c r="D996" i="2"/>
  <c r="B996" i="2"/>
  <c r="A996" i="2"/>
  <c r="E619" i="2"/>
  <c r="L619" i="2" s="1"/>
  <c r="D619" i="2"/>
  <c r="C619" i="2"/>
  <c r="B619" i="2"/>
  <c r="A619" i="2"/>
  <c r="E91" i="2"/>
  <c r="L91" i="2" s="1"/>
  <c r="O91" i="2" s="1"/>
  <c r="D91" i="2"/>
  <c r="C91" i="2"/>
  <c r="B91" i="2"/>
  <c r="A91" i="2"/>
  <c r="E734" i="2"/>
  <c r="D734" i="2"/>
  <c r="B734" i="2"/>
  <c r="A734" i="2"/>
  <c r="E359" i="2"/>
  <c r="L359" i="2" s="1"/>
  <c r="O359" i="2" s="1"/>
  <c r="D359" i="2"/>
  <c r="C359" i="2"/>
  <c r="B359" i="2"/>
  <c r="A359" i="2"/>
  <c r="E869" i="2"/>
  <c r="L869" i="2" s="1"/>
  <c r="O869" i="2" s="1"/>
  <c r="D869" i="2"/>
  <c r="C869" i="2"/>
  <c r="B869" i="2"/>
  <c r="A869" i="2"/>
  <c r="E1556" i="2"/>
  <c r="L1556" i="2" s="1"/>
  <c r="D1556" i="2"/>
  <c r="C1556" i="2"/>
  <c r="B1556" i="2"/>
  <c r="A1556" i="2"/>
  <c r="E277" i="2"/>
  <c r="L277" i="2" s="1"/>
  <c r="O277" i="2" s="1"/>
  <c r="D277" i="2"/>
  <c r="C277" i="2"/>
  <c r="B277" i="2"/>
  <c r="A277" i="2"/>
  <c r="E276" i="2"/>
  <c r="L276" i="2" s="1"/>
  <c r="O276" i="2" s="1"/>
  <c r="D276" i="2"/>
  <c r="C276" i="2"/>
  <c r="B276" i="2"/>
  <c r="A276" i="2"/>
  <c r="E325" i="2"/>
  <c r="L325" i="2" s="1"/>
  <c r="O325" i="2" s="1"/>
  <c r="D325" i="2"/>
  <c r="B325" i="2"/>
  <c r="A325" i="2"/>
  <c r="E268" i="2"/>
  <c r="L268" i="2" s="1"/>
  <c r="D268" i="2"/>
  <c r="C268" i="2"/>
  <c r="B268" i="2"/>
  <c r="A268" i="2"/>
  <c r="E267" i="2"/>
  <c r="L267" i="2" s="1"/>
  <c r="O267" i="2" s="1"/>
  <c r="D267" i="2"/>
  <c r="C267" i="2"/>
  <c r="B267" i="2"/>
  <c r="A267" i="2"/>
  <c r="E303" i="2"/>
  <c r="L303" i="2" s="1"/>
  <c r="D303" i="2"/>
  <c r="C303" i="2"/>
  <c r="B303" i="2"/>
  <c r="A303" i="2"/>
  <c r="E302" i="2"/>
  <c r="L302" i="2" s="1"/>
  <c r="O302" i="2" s="1"/>
  <c r="D302" i="2"/>
  <c r="C302" i="2"/>
  <c r="B302" i="2"/>
  <c r="A302" i="2"/>
  <c r="E241" i="2"/>
  <c r="L241" i="2" s="1"/>
  <c r="D241" i="2"/>
  <c r="C241" i="2"/>
  <c r="B241" i="2"/>
  <c r="A241" i="2"/>
  <c r="E430" i="2"/>
  <c r="D430" i="2"/>
  <c r="C430" i="2"/>
  <c r="B430" i="2"/>
  <c r="A430" i="2"/>
  <c r="E678" i="2"/>
  <c r="L678" i="2" s="1"/>
  <c r="O678" i="2" s="1"/>
  <c r="D678" i="2"/>
  <c r="C678" i="2"/>
  <c r="B678" i="2"/>
  <c r="A678" i="2"/>
  <c r="E1674" i="2"/>
  <c r="L1674" i="2" s="1"/>
  <c r="O1674" i="2" s="1"/>
  <c r="D1674" i="2"/>
  <c r="C1674" i="2"/>
  <c r="B1674" i="2"/>
  <c r="A1674" i="2"/>
  <c r="E1166" i="2"/>
  <c r="D1166" i="2"/>
  <c r="C1166" i="2"/>
  <c r="B1166" i="2"/>
  <c r="A1166" i="2"/>
  <c r="E630" i="2"/>
  <c r="D630" i="2"/>
  <c r="C630" i="2"/>
  <c r="B630" i="2"/>
  <c r="A630" i="2"/>
  <c r="E243" i="2"/>
  <c r="D243" i="2"/>
  <c r="C243" i="2"/>
  <c r="B243" i="2"/>
  <c r="A243" i="2"/>
  <c r="E160" i="2"/>
  <c r="D160" i="2"/>
  <c r="C160" i="2"/>
  <c r="B160" i="2"/>
  <c r="A160" i="2"/>
  <c r="E1327" i="2"/>
  <c r="L1327" i="2" s="1"/>
  <c r="D1327" i="2"/>
  <c r="C1327" i="2"/>
  <c r="B1327" i="2"/>
  <c r="A1327" i="2"/>
  <c r="E1841" i="2"/>
  <c r="L1841" i="2" s="1"/>
  <c r="D1841" i="2"/>
  <c r="C1841" i="2"/>
  <c r="B1841" i="2"/>
  <c r="A1841" i="2"/>
  <c r="E404" i="2"/>
  <c r="L404" i="2" s="1"/>
  <c r="O404" i="2" s="1"/>
  <c r="D404" i="2"/>
  <c r="B404" i="2"/>
  <c r="A404" i="2"/>
  <c r="E216" i="2"/>
  <c r="D216" i="2"/>
  <c r="C216" i="2"/>
  <c r="B216" i="2"/>
  <c r="A216" i="2"/>
  <c r="E1283" i="2"/>
  <c r="L1283" i="2" s="1"/>
  <c r="D1283" i="2"/>
  <c r="C1283" i="2"/>
  <c r="B1283" i="2"/>
  <c r="A1283" i="2"/>
  <c r="E1521" i="2"/>
  <c r="L1521" i="2" s="1"/>
  <c r="O1521" i="2" s="1"/>
  <c r="D1521" i="2"/>
  <c r="C1521" i="2"/>
  <c r="B1521" i="2"/>
  <c r="A1521" i="2"/>
  <c r="E11" i="2"/>
  <c r="D11" i="2"/>
  <c r="C11" i="2"/>
  <c r="B11" i="2"/>
  <c r="A11" i="2"/>
  <c r="E564" i="2"/>
  <c r="L564" i="2" s="1"/>
  <c r="O564" i="2" s="1"/>
  <c r="D564" i="2"/>
  <c r="B564" i="2"/>
  <c r="A564" i="2"/>
  <c r="E1643" i="2"/>
  <c r="L1643" i="2" s="1"/>
  <c r="D1643" i="2"/>
  <c r="C1643" i="2"/>
  <c r="B1643" i="2"/>
  <c r="A1643" i="2"/>
  <c r="E557" i="2"/>
  <c r="D557" i="2"/>
  <c r="C557" i="2"/>
  <c r="B557" i="2"/>
  <c r="A557" i="2"/>
  <c r="E1630" i="2"/>
  <c r="D1630" i="2"/>
  <c r="C1630" i="2"/>
  <c r="B1630" i="2"/>
  <c r="A1630" i="2"/>
  <c r="E20" i="2"/>
  <c r="D20" i="2"/>
  <c r="C20" i="2"/>
  <c r="B20" i="2"/>
  <c r="A20" i="2"/>
  <c r="E68" i="2"/>
  <c r="D68" i="2"/>
  <c r="B68" i="2"/>
  <c r="A68" i="2"/>
  <c r="E44" i="2"/>
  <c r="L44" i="2" s="1"/>
  <c r="D44" i="2"/>
  <c r="C44" i="2"/>
  <c r="B44" i="2"/>
  <c r="A44" i="2"/>
  <c r="E161" i="2"/>
  <c r="D161" i="2"/>
  <c r="C161" i="2"/>
  <c r="B161" i="2"/>
  <c r="A161" i="2"/>
  <c r="E62" i="2"/>
  <c r="L62" i="2" s="1"/>
  <c r="D62" i="2"/>
  <c r="C62" i="2"/>
  <c r="B62" i="2"/>
  <c r="A62" i="2"/>
  <c r="E47" i="2"/>
  <c r="D47" i="2"/>
  <c r="B47" i="2"/>
  <c r="A47" i="2"/>
  <c r="E7" i="2"/>
  <c r="L7" i="2" s="1"/>
  <c r="O7" i="2" s="1"/>
  <c r="D7" i="2"/>
  <c r="C7" i="2"/>
  <c r="B7" i="2"/>
  <c r="A7" i="2"/>
  <c r="E1287" i="2"/>
  <c r="L1287" i="2" s="1"/>
  <c r="D1287" i="2"/>
  <c r="C1287" i="2"/>
  <c r="B1287" i="2"/>
  <c r="A1287" i="2"/>
  <c r="E1286" i="2"/>
  <c r="L1286" i="2" s="1"/>
  <c r="D1286" i="2"/>
  <c r="C1286" i="2"/>
  <c r="B1286" i="2"/>
  <c r="A1286" i="2"/>
  <c r="E219" i="2"/>
  <c r="L219" i="2" s="1"/>
  <c r="O219" i="2" s="1"/>
  <c r="D219" i="2"/>
  <c r="C219" i="2"/>
  <c r="B219" i="2"/>
  <c r="A219" i="2"/>
  <c r="E424" i="2"/>
  <c r="L424" i="2" s="1"/>
  <c r="D424" i="2"/>
  <c r="C424" i="2"/>
  <c r="B424" i="2"/>
  <c r="A424" i="2"/>
  <c r="E695" i="2"/>
  <c r="D695" i="2"/>
  <c r="C695" i="2"/>
  <c r="B695" i="2"/>
  <c r="A695" i="2"/>
  <c r="E815" i="2"/>
  <c r="D815" i="2"/>
  <c r="C815" i="2"/>
  <c r="B815" i="2"/>
  <c r="A815" i="2"/>
  <c r="E1350" i="2"/>
  <c r="L1350" i="2" s="1"/>
  <c r="O1350" i="2" s="1"/>
  <c r="D1350" i="2"/>
  <c r="B1350" i="2"/>
  <c r="A1350" i="2"/>
  <c r="E507" i="2"/>
  <c r="L507" i="2" s="1"/>
  <c r="D507" i="2"/>
  <c r="C507" i="2"/>
  <c r="B507" i="2"/>
  <c r="A507" i="2"/>
  <c r="E797" i="2"/>
  <c r="L797" i="2" s="1"/>
  <c r="D797" i="2"/>
  <c r="C797" i="2"/>
  <c r="B797" i="2"/>
  <c r="A797" i="2"/>
  <c r="E1175" i="2"/>
  <c r="L1175" i="2" s="1"/>
  <c r="O1175" i="2" s="1"/>
  <c r="D1175" i="2"/>
  <c r="C1175" i="2"/>
  <c r="B1175" i="2"/>
  <c r="A1175" i="2"/>
  <c r="E611" i="2"/>
  <c r="D611" i="2"/>
  <c r="B611" i="2"/>
  <c r="A611" i="2"/>
  <c r="E221" i="2"/>
  <c r="D221" i="2"/>
  <c r="B221" i="2"/>
  <c r="A221" i="2"/>
  <c r="E978" i="2"/>
  <c r="L978" i="2" s="1"/>
  <c r="D978" i="2"/>
  <c r="B978" i="2"/>
  <c r="A978" i="2"/>
  <c r="E215" i="2"/>
  <c r="D215" i="2"/>
  <c r="C215" i="2"/>
  <c r="B215" i="2"/>
  <c r="A215" i="2"/>
  <c r="E80" i="2"/>
  <c r="D80" i="2"/>
  <c r="C80" i="2"/>
  <c r="B80" i="2"/>
  <c r="A80" i="2"/>
  <c r="E139" i="2"/>
  <c r="D139" i="2"/>
  <c r="C139" i="2"/>
  <c r="B139" i="2"/>
  <c r="A139" i="2"/>
  <c r="E886" i="2"/>
  <c r="D886" i="2"/>
  <c r="C886" i="2"/>
  <c r="B886" i="2"/>
  <c r="A886" i="2"/>
  <c r="E1332" i="2"/>
  <c r="D1332" i="2"/>
  <c r="C1332" i="2"/>
  <c r="B1332" i="2"/>
  <c r="A1332" i="2"/>
  <c r="E1833" i="2"/>
  <c r="D1833" i="2"/>
  <c r="B1833" i="2"/>
  <c r="A1833" i="2"/>
  <c r="E58" i="2"/>
  <c r="L58" i="2" s="1"/>
  <c r="O58" i="2" s="1"/>
  <c r="D58" i="2"/>
  <c r="B58" i="2"/>
  <c r="A58" i="2"/>
  <c r="E54" i="2"/>
  <c r="L54" i="2" s="1"/>
  <c r="O54" i="2" s="1"/>
  <c r="D54" i="2"/>
  <c r="B54" i="2"/>
  <c r="A54" i="2"/>
  <c r="E1849" i="2"/>
  <c r="L1849" i="2" s="1"/>
  <c r="D1849" i="2"/>
  <c r="C1849" i="2"/>
  <c r="B1849" i="2"/>
  <c r="A1849" i="2"/>
  <c r="E1851" i="2"/>
  <c r="L1851" i="2" s="1"/>
  <c r="D1851" i="2"/>
  <c r="C1851" i="2"/>
  <c r="B1851" i="2"/>
  <c r="A1851" i="2"/>
  <c r="E1050" i="2"/>
  <c r="D1050" i="2"/>
  <c r="B1050" i="2"/>
  <c r="A1050" i="2"/>
  <c r="E393" i="2"/>
  <c r="D393" i="2"/>
  <c r="C393" i="2"/>
  <c r="B393" i="2"/>
  <c r="A393" i="2"/>
  <c r="E941" i="2"/>
  <c r="D941" i="2"/>
  <c r="C941" i="2"/>
  <c r="B941" i="2"/>
  <c r="A941" i="2"/>
  <c r="E19" i="2"/>
  <c r="D19" i="2"/>
  <c r="C19" i="2"/>
  <c r="B19" i="2"/>
  <c r="A19" i="2"/>
  <c r="E1835" i="2"/>
  <c r="L1835" i="2" s="1"/>
  <c r="D1835" i="2"/>
  <c r="B1835" i="2"/>
  <c r="A1835" i="2"/>
  <c r="E403" i="2"/>
  <c r="L403" i="2" s="1"/>
  <c r="D403" i="2"/>
  <c r="B403" i="2"/>
  <c r="A403" i="2"/>
  <c r="E509" i="2"/>
  <c r="L509" i="2" s="1"/>
  <c r="O509" i="2" s="1"/>
  <c r="D509" i="2"/>
  <c r="C509" i="2"/>
  <c r="B509" i="2"/>
  <c r="A509" i="2"/>
  <c r="E273" i="2"/>
  <c r="L273" i="2" s="1"/>
  <c r="O273" i="2" s="1"/>
  <c r="D273" i="2"/>
  <c r="C273" i="2"/>
  <c r="B273" i="2"/>
  <c r="A273" i="2"/>
  <c r="E1007" i="2"/>
  <c r="L1007" i="2" s="1"/>
  <c r="D1007" i="2"/>
  <c r="C1007" i="2"/>
  <c r="B1007" i="2"/>
  <c r="A1007" i="2"/>
  <c r="E190" i="2"/>
  <c r="L190" i="2" s="1"/>
  <c r="O190" i="2" s="1"/>
  <c r="D190" i="2"/>
  <c r="C190" i="2"/>
  <c r="B190" i="2"/>
  <c r="A190" i="2"/>
  <c r="E1006" i="2"/>
  <c r="L1006" i="2" s="1"/>
  <c r="O1006" i="2" s="1"/>
  <c r="D1006" i="2"/>
  <c r="C1006" i="2"/>
  <c r="B1006" i="2"/>
  <c r="A1006" i="2"/>
  <c r="E888" i="2"/>
  <c r="L888" i="2" s="1"/>
  <c r="D888" i="2"/>
  <c r="C888" i="2"/>
  <c r="B888" i="2"/>
  <c r="A888" i="2"/>
  <c r="E51" i="2"/>
  <c r="L51" i="2" s="1"/>
  <c r="O51" i="2" s="1"/>
  <c r="D51" i="2"/>
  <c r="C51" i="2"/>
  <c r="B51" i="2"/>
  <c r="A51" i="2"/>
  <c r="E745" i="2"/>
  <c r="D745" i="2"/>
  <c r="C745" i="2"/>
  <c r="B745" i="2"/>
  <c r="A745" i="2"/>
  <c r="E365" i="2"/>
  <c r="L365" i="2" s="1"/>
  <c r="D365" i="2"/>
  <c r="B365" i="2"/>
  <c r="A365" i="2"/>
  <c r="E364" i="2"/>
  <c r="L364" i="2" s="1"/>
  <c r="O364" i="2" s="1"/>
  <c r="D364" i="2"/>
  <c r="B364" i="2"/>
  <c r="A364" i="2"/>
  <c r="E266" i="2"/>
  <c r="L266" i="2" s="1"/>
  <c r="O266" i="2" s="1"/>
  <c r="D266" i="2"/>
  <c r="B266" i="2"/>
  <c r="A266" i="2"/>
  <c r="E613" i="2"/>
  <c r="L613" i="2" s="1"/>
  <c r="O613" i="2" s="1"/>
  <c r="D613" i="2"/>
  <c r="B613" i="2"/>
  <c r="A613" i="2"/>
  <c r="E338" i="2"/>
  <c r="L338" i="2" s="1"/>
  <c r="D338" i="2"/>
  <c r="C338" i="2"/>
  <c r="B338" i="2"/>
  <c r="A338" i="2"/>
  <c r="E275" i="2"/>
  <c r="L275" i="2" s="1"/>
  <c r="O275" i="2" s="1"/>
  <c r="D275" i="2"/>
  <c r="B275" i="2"/>
  <c r="A275" i="2"/>
  <c r="E1118" i="2"/>
  <c r="D1118" i="2"/>
  <c r="C1118" i="2"/>
  <c r="B1118" i="2"/>
  <c r="A1118" i="2"/>
  <c r="E48" i="2"/>
  <c r="L48" i="2" s="1"/>
  <c r="O48" i="2" s="1"/>
  <c r="D48" i="2"/>
  <c r="C48" i="2"/>
  <c r="B48" i="2"/>
  <c r="A48" i="2"/>
  <c r="E1363" i="2"/>
  <c r="D1363" i="2"/>
  <c r="C1363" i="2"/>
  <c r="B1363" i="2"/>
  <c r="A1363" i="2"/>
  <c r="E258" i="2"/>
  <c r="D258" i="2"/>
  <c r="C258" i="2"/>
  <c r="B258" i="2"/>
  <c r="A258" i="2"/>
  <c r="E1282" i="2"/>
  <c r="L1282" i="2" s="1"/>
  <c r="O1282" i="2" s="1"/>
  <c r="D1282" i="2"/>
  <c r="C1282" i="2"/>
  <c r="B1282" i="2"/>
  <c r="A1282" i="2"/>
  <c r="E743" i="2"/>
  <c r="L743" i="2" s="1"/>
  <c r="O743" i="2" s="1"/>
  <c r="D743" i="2"/>
  <c r="C743" i="2"/>
  <c r="B743" i="2"/>
  <c r="A743" i="2"/>
  <c r="E947" i="2"/>
  <c r="L947" i="2" s="1"/>
  <c r="O947" i="2" s="1"/>
  <c r="D947" i="2"/>
  <c r="C947" i="2"/>
  <c r="B947" i="2"/>
  <c r="A947" i="2"/>
  <c r="E60" i="2"/>
  <c r="D60" i="2"/>
  <c r="C60" i="2"/>
  <c r="B60" i="2"/>
  <c r="A60" i="2"/>
  <c r="E10" i="2"/>
  <c r="D10" i="2"/>
  <c r="C10" i="2"/>
  <c r="B10" i="2"/>
  <c r="A10" i="2"/>
  <c r="E1838" i="2"/>
  <c r="L1838" i="2" s="1"/>
  <c r="O1838" i="2" s="1"/>
  <c r="D1838" i="2"/>
  <c r="C1838" i="2"/>
  <c r="B1838" i="2"/>
  <c r="A1838" i="2"/>
  <c r="E57" i="2"/>
  <c r="L57" i="2" s="1"/>
  <c r="O57" i="2" s="1"/>
  <c r="D57" i="2"/>
  <c r="C57" i="2"/>
  <c r="B57" i="2"/>
  <c r="A57" i="2"/>
  <c r="E240" i="2"/>
  <c r="D240" i="2"/>
  <c r="C240" i="2"/>
  <c r="B240" i="2"/>
  <c r="A240" i="2"/>
  <c r="E300" i="2"/>
  <c r="L300" i="2" s="1"/>
  <c r="O300" i="2" s="1"/>
  <c r="D300" i="2"/>
  <c r="C300" i="2"/>
  <c r="B300" i="2"/>
  <c r="A300" i="2"/>
  <c r="E812" i="2"/>
  <c r="L812" i="2" s="1"/>
  <c r="O812" i="2" s="1"/>
  <c r="D812" i="2"/>
  <c r="C812" i="2"/>
  <c r="B812" i="2"/>
  <c r="A812" i="2"/>
  <c r="E1188" i="2"/>
  <c r="L1188" i="2" s="1"/>
  <c r="O1188" i="2" s="1"/>
  <c r="D1188" i="2"/>
  <c r="C1188" i="2"/>
  <c r="B1188" i="2"/>
  <c r="A1188" i="2"/>
  <c r="E811" i="2"/>
  <c r="L811" i="2" s="1"/>
  <c r="O811" i="2" s="1"/>
  <c r="D811" i="2"/>
  <c r="B811" i="2"/>
  <c r="A811" i="2"/>
  <c r="E1454" i="2"/>
  <c r="L1454" i="2" s="1"/>
  <c r="O1454" i="2" s="1"/>
  <c r="D1454" i="2"/>
  <c r="B1454" i="2"/>
  <c r="A1454" i="2"/>
  <c r="E1073" i="2"/>
  <c r="L1073" i="2" s="1"/>
  <c r="O1073" i="2" s="1"/>
  <c r="D1073" i="2"/>
  <c r="B1073" i="2"/>
  <c r="A1073" i="2"/>
  <c r="E1072" i="2"/>
  <c r="L1072" i="2" s="1"/>
  <c r="D1072" i="2"/>
  <c r="B1072" i="2"/>
  <c r="A1072" i="2"/>
  <c r="E740" i="2"/>
  <c r="D740" i="2"/>
  <c r="C740" i="2"/>
  <c r="B740" i="2"/>
  <c r="A740" i="2"/>
  <c r="E923" i="2"/>
  <c r="D923" i="2"/>
  <c r="C923" i="2"/>
  <c r="B923" i="2"/>
  <c r="A923" i="2"/>
  <c r="E21" i="2"/>
  <c r="L21" i="2" s="1"/>
  <c r="O21" i="2" s="1"/>
  <c r="D21" i="2"/>
  <c r="C21" i="2"/>
  <c r="B21" i="2"/>
  <c r="A21" i="2"/>
  <c r="E1810" i="2"/>
  <c r="L1810" i="2" s="1"/>
  <c r="D1810" i="2"/>
  <c r="C1810" i="2"/>
  <c r="B1810" i="2"/>
  <c r="A1810" i="2"/>
  <c r="E1796" i="2"/>
  <c r="L1796" i="2" s="1"/>
  <c r="O1796" i="2" s="1"/>
  <c r="D1796" i="2"/>
  <c r="B1796" i="2"/>
  <c r="A1796" i="2"/>
  <c r="E1345" i="2"/>
  <c r="L1345" i="2" s="1"/>
  <c r="D1345" i="2"/>
  <c r="C1345" i="2"/>
  <c r="B1345" i="2"/>
  <c r="A1345" i="2"/>
  <c r="E1392" i="2"/>
  <c r="L1392" i="2" s="1"/>
  <c r="O1392" i="2" s="1"/>
  <c r="D1392" i="2"/>
  <c r="C1392" i="2"/>
  <c r="B1392" i="2"/>
  <c r="A1392" i="2"/>
  <c r="E25" i="2"/>
  <c r="D25" i="2"/>
  <c r="C25" i="2"/>
  <c r="B25" i="2"/>
  <c r="A25" i="2"/>
  <c r="E736" i="2"/>
  <c r="L736" i="2" s="1"/>
  <c r="O736" i="2" s="1"/>
  <c r="D736" i="2"/>
  <c r="C736" i="2"/>
  <c r="B736" i="2"/>
  <c r="A736" i="2"/>
  <c r="E995" i="2"/>
  <c r="L995" i="2" s="1"/>
  <c r="D995" i="2"/>
  <c r="C995" i="2"/>
  <c r="B995" i="2"/>
  <c r="A995" i="2"/>
  <c r="E994" i="2"/>
  <c r="L994" i="2" s="1"/>
  <c r="O994" i="2" s="1"/>
  <c r="D994" i="2"/>
  <c r="C994" i="2"/>
  <c r="B994" i="2"/>
  <c r="A994" i="2"/>
  <c r="E993" i="2"/>
  <c r="L993" i="2" s="1"/>
  <c r="D993" i="2"/>
  <c r="C993" i="2"/>
  <c r="B993" i="2"/>
  <c r="A993" i="2"/>
  <c r="E1233" i="2"/>
  <c r="L1233" i="2" s="1"/>
  <c r="D1233" i="2"/>
  <c r="C1233" i="2"/>
  <c r="B1233" i="2"/>
  <c r="A1233" i="2"/>
  <c r="E1409" i="2"/>
  <c r="L1409" i="2" s="1"/>
  <c r="D1409" i="2"/>
  <c r="C1409" i="2"/>
  <c r="B1409" i="2"/>
  <c r="A1409" i="2"/>
  <c r="E1683" i="2"/>
  <c r="L1683" i="2" s="1"/>
  <c r="D1683" i="2"/>
  <c r="C1683" i="2"/>
  <c r="B1683" i="2"/>
  <c r="A1683" i="2"/>
  <c r="E618" i="2"/>
  <c r="L618" i="2" s="1"/>
  <c r="O618" i="2" s="1"/>
  <c r="D618" i="2"/>
  <c r="B618" i="2"/>
  <c r="A618" i="2"/>
  <c r="E452" i="2"/>
  <c r="L452" i="2" s="1"/>
  <c r="O452" i="2" s="1"/>
  <c r="D452" i="2"/>
  <c r="B452" i="2"/>
  <c r="A452" i="2"/>
  <c r="E1122" i="2"/>
  <c r="L1122" i="2" s="1"/>
  <c r="D1122" i="2"/>
  <c r="C1122" i="2"/>
  <c r="B1122" i="2"/>
  <c r="A1122" i="2"/>
  <c r="E1453" i="2"/>
  <c r="L1453" i="2" s="1"/>
  <c r="O1453" i="2" s="1"/>
  <c r="D1453" i="2"/>
  <c r="C1453" i="2"/>
  <c r="B1453" i="2"/>
  <c r="A1453" i="2"/>
  <c r="E1642" i="2"/>
  <c r="L1642" i="2" s="1"/>
  <c r="O1642" i="2" s="1"/>
  <c r="D1642" i="2"/>
  <c r="C1642" i="2"/>
  <c r="B1642" i="2"/>
  <c r="A1642" i="2"/>
  <c r="E477" i="2"/>
  <c r="L477" i="2" s="1"/>
  <c r="O477" i="2" s="1"/>
  <c r="D477" i="2"/>
  <c r="B477" i="2"/>
  <c r="A477" i="2"/>
  <c r="E209" i="2"/>
  <c r="D209" i="2"/>
  <c r="B209" i="2"/>
  <c r="A209" i="2"/>
  <c r="E239" i="2"/>
  <c r="D239" i="2"/>
  <c r="B239" i="2"/>
  <c r="A239" i="2"/>
  <c r="E856" i="2"/>
  <c r="L856" i="2" s="1"/>
  <c r="D856" i="2"/>
  <c r="B856" i="2"/>
  <c r="A856" i="2"/>
  <c r="E505" i="2"/>
  <c r="L505" i="2" s="1"/>
  <c r="D505" i="2"/>
  <c r="C505" i="2"/>
  <c r="B505" i="2"/>
  <c r="A505" i="2"/>
  <c r="E1842" i="2"/>
  <c r="L1842" i="2" s="1"/>
  <c r="D1842" i="2"/>
  <c r="C1842" i="2"/>
  <c r="B1842" i="2"/>
  <c r="A1842" i="2"/>
  <c r="E1845" i="2"/>
  <c r="L1845" i="2" s="1"/>
  <c r="D1845" i="2"/>
  <c r="C1845" i="2"/>
  <c r="B1845" i="2"/>
  <c r="A1845" i="2"/>
  <c r="E1846" i="2"/>
  <c r="L1846" i="2" s="1"/>
  <c r="O1846" i="2" s="1"/>
  <c r="D1846" i="2"/>
  <c r="C1846" i="2"/>
  <c r="B1846" i="2"/>
  <c r="A1846" i="2"/>
  <c r="E1487" i="2"/>
  <c r="L1487" i="2" s="1"/>
  <c r="D1487" i="2"/>
  <c r="C1487" i="2"/>
  <c r="B1487" i="2"/>
  <c r="A1487" i="2"/>
  <c r="E454" i="2"/>
  <c r="D454" i="2"/>
  <c r="B454" i="2"/>
  <c r="A454" i="2"/>
  <c r="E1344" i="2"/>
  <c r="L1344" i="2" s="1"/>
  <c r="D1344" i="2"/>
  <c r="C1344" i="2"/>
  <c r="B1344" i="2"/>
  <c r="A1344" i="2"/>
  <c r="E1602" i="2"/>
  <c r="L1602" i="2" s="1"/>
  <c r="O1602" i="2" s="1"/>
  <c r="D1602" i="2"/>
  <c r="C1602" i="2"/>
  <c r="B1602" i="2"/>
  <c r="A1602" i="2"/>
  <c r="E109" i="2"/>
  <c r="D109" i="2"/>
  <c r="C109" i="2"/>
  <c r="B109" i="2"/>
  <c r="A109" i="2"/>
  <c r="E868" i="2"/>
  <c r="L868" i="2" s="1"/>
  <c r="O868" i="2" s="1"/>
  <c r="D868" i="2"/>
  <c r="C868" i="2"/>
  <c r="B868" i="2"/>
  <c r="A868" i="2"/>
  <c r="E1408" i="2"/>
  <c r="L1408" i="2" s="1"/>
  <c r="O1408" i="2" s="1"/>
  <c r="D1408" i="2"/>
  <c r="C1408" i="2"/>
  <c r="B1408" i="2"/>
  <c r="A1408" i="2"/>
  <c r="E1473" i="2"/>
  <c r="L1473" i="2" s="1"/>
  <c r="O1473" i="2" s="1"/>
  <c r="D1473" i="2"/>
  <c r="C1473" i="2"/>
  <c r="B1473" i="2"/>
  <c r="A1473" i="2"/>
  <c r="E1654" i="2"/>
  <c r="L1654" i="2" s="1"/>
  <c r="D1654" i="2"/>
  <c r="C1654" i="2"/>
  <c r="B1654" i="2"/>
  <c r="A1654" i="2"/>
  <c r="E1682" i="2"/>
  <c r="L1682" i="2" s="1"/>
  <c r="O1682" i="2" s="1"/>
  <c r="D1682" i="2"/>
  <c r="C1682" i="2"/>
  <c r="B1682" i="2"/>
  <c r="A1682" i="2"/>
  <c r="E1232" i="2"/>
  <c r="L1232" i="2" s="1"/>
  <c r="D1232" i="2"/>
  <c r="C1232" i="2"/>
  <c r="B1232" i="2"/>
  <c r="A1232" i="2"/>
  <c r="E1331" i="2"/>
  <c r="L1331" i="2" s="1"/>
  <c r="O1331" i="2" s="1"/>
  <c r="D1331" i="2"/>
  <c r="C1331" i="2"/>
  <c r="B1331" i="2"/>
  <c r="A1331" i="2"/>
  <c r="E1440" i="2"/>
  <c r="L1440" i="2" s="1"/>
  <c r="D1440" i="2"/>
  <c r="C1440" i="2"/>
  <c r="B1440" i="2"/>
  <c r="A1440" i="2"/>
  <c r="E1672" i="2"/>
  <c r="D1672" i="2"/>
  <c r="C1672" i="2"/>
  <c r="B1672" i="2"/>
  <c r="A1672" i="2"/>
  <c r="E43" i="2"/>
  <c r="L43" i="2" s="1"/>
  <c r="O43" i="2" s="1"/>
  <c r="D43" i="2"/>
  <c r="B43" i="2"/>
  <c r="A43" i="2"/>
  <c r="E323" i="2"/>
  <c r="D323" i="2"/>
  <c r="C323" i="2"/>
  <c r="B323" i="2"/>
  <c r="A323" i="2"/>
  <c r="E176" i="2"/>
  <c r="L176" i="2" s="1"/>
  <c r="O176" i="2" s="1"/>
  <c r="D176" i="2"/>
  <c r="B176" i="2"/>
  <c r="A176" i="2"/>
  <c r="E665" i="2"/>
  <c r="L665" i="2" s="1"/>
  <c r="O665" i="2" s="1"/>
  <c r="D665" i="2"/>
  <c r="B665" i="2"/>
  <c r="A665" i="2"/>
  <c r="E1853" i="2"/>
  <c r="L1853" i="2" s="1"/>
  <c r="D1853" i="2"/>
  <c r="C1853" i="2"/>
  <c r="B1853" i="2"/>
  <c r="A1853" i="2"/>
  <c r="E294" i="2"/>
  <c r="L294" i="2" s="1"/>
  <c r="O294" i="2" s="1"/>
  <c r="D294" i="2"/>
  <c r="B294" i="2"/>
  <c r="A294" i="2"/>
  <c r="E566" i="2"/>
  <c r="L566" i="2" s="1"/>
  <c r="O566" i="2" s="1"/>
  <c r="D566" i="2"/>
  <c r="B566" i="2"/>
  <c r="A566" i="2"/>
  <c r="E1843" i="2"/>
  <c r="L1843" i="2" s="1"/>
  <c r="D1843" i="2"/>
  <c r="C1843" i="2"/>
  <c r="B1843" i="2"/>
  <c r="A1843" i="2"/>
  <c r="E42" i="2"/>
  <c r="D42" i="2"/>
  <c r="B42" i="2"/>
  <c r="A42" i="2"/>
  <c r="E946" i="2"/>
  <c r="L946" i="2" s="1"/>
  <c r="O946" i="2" s="1"/>
  <c r="D946" i="2"/>
  <c r="C946" i="2"/>
  <c r="B946" i="2"/>
  <c r="A946" i="2"/>
  <c r="E782" i="2"/>
  <c r="L782" i="2" s="1"/>
  <c r="O782" i="2" s="1"/>
  <c r="D782" i="2"/>
  <c r="C782" i="2"/>
  <c r="B782" i="2"/>
  <c r="A782" i="2"/>
  <c r="E201" i="2"/>
  <c r="L201" i="2" s="1"/>
  <c r="O201" i="2" s="1"/>
  <c r="D201" i="2"/>
  <c r="C201" i="2"/>
  <c r="B201" i="2"/>
  <c r="A201" i="2"/>
  <c r="E90" i="2"/>
  <c r="L90" i="2" s="1"/>
  <c r="O90" i="2" s="1"/>
  <c r="D90" i="2"/>
  <c r="C90" i="2"/>
  <c r="B90" i="2"/>
  <c r="A90" i="2"/>
  <c r="E1828" i="2"/>
  <c r="L1828" i="2" s="1"/>
  <c r="D1828" i="2"/>
  <c r="C1828" i="2"/>
  <c r="B1828" i="2"/>
  <c r="A1828" i="2"/>
  <c r="E337" i="2"/>
  <c r="L337" i="2" s="1"/>
  <c r="O337" i="2" s="1"/>
  <c r="D337" i="2"/>
  <c r="B337" i="2"/>
  <c r="A337" i="2"/>
  <c r="E1079" i="2"/>
  <c r="L1079" i="2" s="1"/>
  <c r="D1079" i="2"/>
  <c r="B1079" i="2"/>
  <c r="A1079" i="2"/>
  <c r="E217" i="2"/>
  <c r="L217" i="2" s="1"/>
  <c r="O217" i="2" s="1"/>
  <c r="D217" i="2"/>
  <c r="B217" i="2"/>
  <c r="A217" i="2"/>
  <c r="E195" i="2"/>
  <c r="L195" i="2" s="1"/>
  <c r="O195" i="2" s="1"/>
  <c r="D195" i="2"/>
  <c r="B195" i="2"/>
  <c r="A195" i="2"/>
  <c r="E596" i="2"/>
  <c r="L596" i="2" s="1"/>
  <c r="D596" i="2"/>
  <c r="B596" i="2"/>
  <c r="A596" i="2"/>
  <c r="E662" i="2"/>
  <c r="L662" i="2" s="1"/>
  <c r="O662" i="2" s="1"/>
  <c r="D662" i="2"/>
  <c r="B662" i="2"/>
  <c r="A662" i="2"/>
  <c r="E196" i="2"/>
  <c r="D196" i="2"/>
  <c r="C196" i="2"/>
  <c r="B196" i="2"/>
  <c r="A196" i="2"/>
  <c r="E1137" i="2"/>
  <c r="D1137" i="2"/>
  <c r="C1137" i="2"/>
  <c r="B1137" i="2"/>
  <c r="A1137" i="2"/>
  <c r="E1224" i="2"/>
  <c r="D1224" i="2"/>
  <c r="C1224" i="2"/>
  <c r="B1224" i="2"/>
  <c r="A1224" i="2"/>
  <c r="E885" i="2"/>
  <c r="D885" i="2"/>
  <c r="C885" i="2"/>
  <c r="B885" i="2"/>
  <c r="A885" i="2"/>
  <c r="E780" i="2"/>
  <c r="D780" i="2"/>
  <c r="C780" i="2"/>
  <c r="B780" i="2"/>
  <c r="A780" i="2"/>
  <c r="E1834" i="2"/>
  <c r="D1834" i="2"/>
  <c r="B1834" i="2"/>
  <c r="A1834" i="2"/>
  <c r="E375" i="2"/>
  <c r="L375" i="2" s="1"/>
  <c r="O375" i="2" s="1"/>
  <c r="D375" i="2"/>
  <c r="B375" i="2"/>
  <c r="A375" i="2"/>
  <c r="E1290" i="2"/>
  <c r="L1290" i="2" s="1"/>
  <c r="O1290" i="2" s="1"/>
  <c r="D1290" i="2"/>
  <c r="B1290" i="2"/>
  <c r="A1290" i="2"/>
  <c r="E313" i="2"/>
  <c r="L313" i="2" s="1"/>
  <c r="O313" i="2" s="1"/>
  <c r="D313" i="2"/>
  <c r="B313" i="2"/>
  <c r="A313" i="2"/>
  <c r="E526" i="2"/>
  <c r="L526" i="2" s="1"/>
  <c r="D526" i="2"/>
  <c r="B526" i="2"/>
  <c r="A526" i="2"/>
  <c r="E87" i="2"/>
  <c r="D87" i="2"/>
  <c r="B87" i="2"/>
  <c r="A87" i="2"/>
  <c r="E41" i="2"/>
  <c r="D41" i="2"/>
  <c r="B41" i="2"/>
  <c r="A41" i="2"/>
  <c r="E1059" i="2"/>
  <c r="L1059" i="2" s="1"/>
  <c r="D1059" i="2"/>
  <c r="C1059" i="2"/>
  <c r="B1059" i="2"/>
  <c r="A1059" i="2"/>
  <c r="E1326" i="2"/>
  <c r="L1326" i="2" s="1"/>
  <c r="O1326" i="2" s="1"/>
  <c r="D1326" i="2"/>
  <c r="C1326" i="2"/>
  <c r="B1326" i="2"/>
  <c r="A1326" i="2"/>
  <c r="E1452" i="2"/>
  <c r="L1452" i="2" s="1"/>
  <c r="O1452" i="2" s="1"/>
  <c r="D1452" i="2"/>
  <c r="C1452" i="2"/>
  <c r="B1452" i="2"/>
  <c r="A1452" i="2"/>
  <c r="E344" i="2"/>
  <c r="L344" i="2" s="1"/>
  <c r="D344" i="2"/>
  <c r="C344" i="2"/>
  <c r="B344" i="2"/>
  <c r="A344" i="2"/>
  <c r="E476" i="2"/>
  <c r="L476" i="2" s="1"/>
  <c r="O476" i="2" s="1"/>
  <c r="D476" i="2"/>
  <c r="C476" i="2"/>
  <c r="B476" i="2"/>
  <c r="A476" i="2"/>
  <c r="E426" i="2"/>
  <c r="L426" i="2" s="1"/>
  <c r="D426" i="2"/>
  <c r="B426" i="2"/>
  <c r="A426" i="2"/>
  <c r="E299" i="2"/>
  <c r="L299" i="2" s="1"/>
  <c r="O299" i="2" s="1"/>
  <c r="D299" i="2"/>
  <c r="B299" i="2"/>
  <c r="A299" i="2"/>
  <c r="E661" i="2"/>
  <c r="L661" i="2" s="1"/>
  <c r="O661" i="2" s="1"/>
  <c r="D661" i="2"/>
  <c r="C661" i="2"/>
  <c r="B661" i="2"/>
  <c r="A661" i="2"/>
  <c r="E39" i="2"/>
  <c r="D39" i="2"/>
  <c r="B39" i="2"/>
  <c r="A39" i="2"/>
  <c r="E36" i="2"/>
  <c r="D36" i="2"/>
  <c r="B36" i="2"/>
  <c r="A36" i="2"/>
  <c r="E156" i="2"/>
  <c r="L156" i="2" s="1"/>
  <c r="O156" i="2" s="1"/>
  <c r="D156" i="2"/>
  <c r="C156" i="2"/>
  <c r="B156" i="2"/>
  <c r="A156" i="2"/>
  <c r="E1451" i="2"/>
  <c r="L1451" i="2" s="1"/>
  <c r="O1451" i="2" s="1"/>
  <c r="D1451" i="2"/>
  <c r="C1451" i="2"/>
  <c r="B1451" i="2"/>
  <c r="A1451" i="2"/>
  <c r="E659" i="2"/>
  <c r="L659" i="2" s="1"/>
  <c r="D659" i="2"/>
  <c r="C659" i="2"/>
  <c r="B659" i="2"/>
  <c r="A659" i="2"/>
  <c r="E374" i="2"/>
  <c r="L374" i="2" s="1"/>
  <c r="O374" i="2" s="1"/>
  <c r="D374" i="2"/>
  <c r="C374" i="2"/>
  <c r="B374" i="2"/>
  <c r="A374" i="2"/>
  <c r="E108" i="2"/>
  <c r="D108" i="2"/>
  <c r="C108" i="2"/>
  <c r="B108" i="2"/>
  <c r="A108" i="2"/>
  <c r="E118" i="2"/>
  <c r="D118" i="2"/>
  <c r="C118" i="2"/>
  <c r="B118" i="2"/>
  <c r="A118" i="2"/>
  <c r="E130" i="2"/>
  <c r="D130" i="2"/>
  <c r="C130" i="2"/>
  <c r="B130" i="2"/>
  <c r="A130" i="2"/>
  <c r="E170" i="2"/>
  <c r="D170" i="2"/>
  <c r="C170" i="2"/>
  <c r="B170" i="2"/>
  <c r="A170" i="2"/>
  <c r="E262" i="2"/>
  <c r="D262" i="2"/>
  <c r="C262" i="2"/>
  <c r="B262" i="2"/>
  <c r="A262" i="2"/>
  <c r="E142" i="2"/>
  <c r="L142" i="2" s="1"/>
  <c r="O142" i="2" s="1"/>
  <c r="D142" i="2"/>
  <c r="B142" i="2"/>
  <c r="A142" i="2"/>
  <c r="E144" i="2"/>
  <c r="L144" i="2" s="1"/>
  <c r="D144" i="2"/>
  <c r="B144" i="2"/>
  <c r="A144" i="2"/>
  <c r="E552" i="2"/>
  <c r="L552" i="2" s="1"/>
  <c r="D552" i="2"/>
  <c r="C552" i="2"/>
  <c r="B552" i="2"/>
  <c r="A552" i="2"/>
  <c r="E16" i="2"/>
  <c r="D16" i="2"/>
  <c r="C16" i="2"/>
  <c r="B16" i="2"/>
  <c r="A16" i="2"/>
  <c r="E397" i="2"/>
  <c r="L397" i="2" s="1"/>
  <c r="O397" i="2" s="1"/>
  <c r="D397" i="2"/>
  <c r="B397" i="2"/>
  <c r="A397" i="2"/>
  <c r="E155" i="2"/>
  <c r="L155" i="2" s="1"/>
  <c r="O155" i="2" s="1"/>
  <c r="D155" i="2"/>
  <c r="B155" i="2"/>
  <c r="A155" i="2"/>
  <c r="E658" i="2"/>
  <c r="L658" i="2" s="1"/>
  <c r="O658" i="2" s="1"/>
  <c r="D658" i="2"/>
  <c r="B658" i="2"/>
  <c r="A658" i="2"/>
  <c r="E396" i="2"/>
  <c r="L396" i="2" s="1"/>
  <c r="O396" i="2" s="1"/>
  <c r="D396" i="2"/>
  <c r="C396" i="2"/>
  <c r="B396" i="2"/>
  <c r="A396" i="2"/>
  <c r="E101" i="2"/>
  <c r="L101" i="2" s="1"/>
  <c r="O101" i="2" s="1"/>
  <c r="D101" i="2"/>
  <c r="C101" i="2"/>
  <c r="B101" i="2"/>
  <c r="A101" i="2"/>
  <c r="E1819" i="2"/>
  <c r="L1819" i="2" s="1"/>
  <c r="O1819" i="2" s="1"/>
  <c r="D1819" i="2"/>
  <c r="C1819" i="2"/>
  <c r="B1819" i="2"/>
  <c r="A1819" i="2"/>
  <c r="E594" i="2"/>
  <c r="D594" i="2"/>
  <c r="B594" i="2"/>
  <c r="A594" i="2"/>
  <c r="E433" i="2"/>
  <c r="D433" i="2"/>
  <c r="B433" i="2"/>
  <c r="A433" i="2"/>
  <c r="E392" i="2"/>
  <c r="D392" i="2"/>
  <c r="B392" i="2"/>
  <c r="A392" i="2"/>
  <c r="E339" i="2"/>
  <c r="D339" i="2"/>
  <c r="B339" i="2"/>
  <c r="A339" i="2"/>
  <c r="E234" i="2"/>
  <c r="D234" i="2"/>
  <c r="B234" i="2"/>
  <c r="A234" i="2"/>
  <c r="E205" i="2"/>
  <c r="D205" i="2"/>
  <c r="B205" i="2"/>
  <c r="A205" i="2"/>
  <c r="E110" i="2"/>
  <c r="D110" i="2"/>
  <c r="B110" i="2"/>
  <c r="A110" i="2"/>
  <c r="E158" i="2"/>
  <c r="D158" i="2"/>
  <c r="B158" i="2"/>
  <c r="A158" i="2"/>
  <c r="E184" i="2"/>
  <c r="D184" i="2"/>
  <c r="B184" i="2"/>
  <c r="A184" i="2"/>
  <c r="E78" i="2"/>
  <c r="D78" i="2"/>
  <c r="B78" i="2"/>
  <c r="A78" i="2"/>
  <c r="E610" i="2"/>
  <c r="D610" i="2"/>
  <c r="C610" i="2"/>
  <c r="B610" i="2"/>
  <c r="A610" i="2"/>
  <c r="E1411" i="2"/>
  <c r="D1411" i="2"/>
  <c r="C1411" i="2"/>
  <c r="B1411" i="2"/>
  <c r="A1411" i="2"/>
  <c r="E1731" i="2"/>
  <c r="D1731" i="2"/>
  <c r="C1731" i="2"/>
  <c r="B1731" i="2"/>
  <c r="A1731" i="2"/>
  <c r="E70" i="2"/>
  <c r="L70" i="2" s="1"/>
  <c r="O70" i="2" s="1"/>
  <c r="D70" i="2"/>
  <c r="B70" i="2"/>
  <c r="A70" i="2"/>
  <c r="E114" i="2"/>
  <c r="L114" i="2" s="1"/>
  <c r="O114" i="2" s="1"/>
  <c r="D114" i="2"/>
  <c r="B114" i="2"/>
  <c r="A114" i="2"/>
  <c r="E525" i="2"/>
  <c r="L525" i="2" s="1"/>
  <c r="O525" i="2" s="1"/>
  <c r="D525" i="2"/>
  <c r="B525" i="2"/>
  <c r="A525" i="2"/>
  <c r="E1848" i="2"/>
  <c r="L1848" i="2" s="1"/>
  <c r="O1848" i="2" s="1"/>
  <c r="D1848" i="2"/>
  <c r="B1848" i="2"/>
  <c r="A1848" i="2"/>
  <c r="E1850" i="2"/>
  <c r="L1850" i="2" s="1"/>
  <c r="O1850" i="2" s="1"/>
  <c r="D1850" i="2"/>
  <c r="B1850" i="2"/>
  <c r="A1850" i="2"/>
  <c r="E1852" i="2"/>
  <c r="L1852" i="2" s="1"/>
  <c r="D1852" i="2"/>
  <c r="B1852" i="2"/>
  <c r="A1852" i="2"/>
  <c r="E725" i="2"/>
  <c r="L725" i="2" s="1"/>
  <c r="O725" i="2" s="1"/>
  <c r="D725" i="2"/>
  <c r="C725" i="2"/>
  <c r="B725" i="2"/>
  <c r="A725" i="2"/>
  <c r="E327" i="2"/>
  <c r="L327" i="2" s="1"/>
  <c r="D327" i="2"/>
  <c r="C327" i="2"/>
  <c r="B327" i="2"/>
  <c r="A327" i="2"/>
  <c r="E617" i="2"/>
  <c r="L617" i="2" s="1"/>
  <c r="O617" i="2" s="1"/>
  <c r="D617" i="2"/>
  <c r="C617" i="2"/>
  <c r="B617" i="2"/>
  <c r="A617" i="2"/>
  <c r="E867" i="2"/>
  <c r="L867" i="2" s="1"/>
  <c r="O867" i="2" s="1"/>
  <c r="D867" i="2"/>
  <c r="C867" i="2"/>
  <c r="B867" i="2"/>
  <c r="A867" i="2"/>
  <c r="E1121" i="2"/>
  <c r="L1121" i="2" s="1"/>
  <c r="O1121" i="2" s="1"/>
  <c r="D1121" i="2"/>
  <c r="C1121" i="2"/>
  <c r="B1121" i="2"/>
  <c r="A1121" i="2"/>
  <c r="E742" i="2"/>
  <c r="L742" i="2" s="1"/>
  <c r="O742" i="2" s="1"/>
  <c r="D742" i="2"/>
  <c r="C742" i="2"/>
  <c r="B742" i="2"/>
  <c r="A742" i="2"/>
  <c r="E1120" i="2"/>
  <c r="L1120" i="2" s="1"/>
  <c r="O1120" i="2" s="1"/>
  <c r="D1120" i="2"/>
  <c r="C1120" i="2"/>
  <c r="B1120" i="2"/>
  <c r="A1120" i="2"/>
  <c r="E1401" i="2"/>
  <c r="L1401" i="2" s="1"/>
  <c r="O1401" i="2" s="1"/>
  <c r="D1401" i="2"/>
  <c r="C1401" i="2"/>
  <c r="B1401" i="2"/>
  <c r="A1401" i="2"/>
  <c r="E1601" i="2"/>
  <c r="L1601" i="2" s="1"/>
  <c r="D1601" i="2"/>
  <c r="C1601" i="2"/>
  <c r="B1601" i="2"/>
  <c r="A1601" i="2"/>
  <c r="E23" i="2"/>
  <c r="D23" i="2"/>
  <c r="C23" i="2"/>
  <c r="B23" i="2"/>
  <c r="A23" i="2"/>
  <c r="E561" i="2"/>
  <c r="L561" i="2" s="1"/>
  <c r="D561" i="2"/>
  <c r="C561" i="2"/>
  <c r="B561" i="2"/>
  <c r="A561" i="2"/>
  <c r="E616" i="2"/>
  <c r="L616" i="2" s="1"/>
  <c r="D616" i="2"/>
  <c r="C616" i="2"/>
  <c r="B616" i="2"/>
  <c r="A616" i="2"/>
  <c r="E741" i="2"/>
  <c r="L741" i="2" s="1"/>
  <c r="O741" i="2" s="1"/>
  <c r="D741" i="2"/>
  <c r="C741" i="2"/>
  <c r="B741" i="2"/>
  <c r="A741" i="2"/>
  <c r="E218" i="2"/>
  <c r="L218" i="2" s="1"/>
  <c r="O218" i="2" s="1"/>
  <c r="D218" i="2"/>
  <c r="C218" i="2"/>
  <c r="B218" i="2"/>
  <c r="A218" i="2"/>
  <c r="E265" i="2"/>
  <c r="L265" i="2" s="1"/>
  <c r="O265" i="2" s="1"/>
  <c r="D265" i="2"/>
  <c r="C265" i="2"/>
  <c r="B265" i="2"/>
  <c r="A265" i="2"/>
  <c r="E133" i="2"/>
  <c r="L133" i="2" s="1"/>
  <c r="O133" i="2" s="1"/>
  <c r="D133" i="2"/>
  <c r="B133" i="2"/>
  <c r="A133" i="2"/>
  <c r="E340" i="2"/>
  <c r="L340" i="2" s="1"/>
  <c r="O340" i="2" s="1"/>
  <c r="D340" i="2"/>
  <c r="B340" i="2"/>
  <c r="A340" i="2"/>
  <c r="E202" i="2"/>
  <c r="L202" i="2" s="1"/>
  <c r="O202" i="2" s="1"/>
  <c r="D202" i="2"/>
  <c r="B202" i="2"/>
  <c r="A202" i="2"/>
  <c r="E306" i="2"/>
  <c r="L306" i="2" s="1"/>
  <c r="O306" i="2" s="1"/>
  <c r="D306" i="2"/>
  <c r="B306" i="2"/>
  <c r="A306" i="2"/>
  <c r="E69" i="2"/>
  <c r="L69" i="2" s="1"/>
  <c r="O69" i="2" s="1"/>
  <c r="D69" i="2"/>
  <c r="B69" i="2"/>
  <c r="A69" i="2"/>
  <c r="E560" i="2"/>
  <c r="L560" i="2" s="1"/>
  <c r="O560" i="2" s="1"/>
  <c r="D560" i="2"/>
  <c r="C560" i="2"/>
  <c r="B560" i="2"/>
  <c r="A560" i="2"/>
  <c r="E1830" i="2"/>
  <c r="L1830" i="2" s="1"/>
  <c r="D1830" i="2"/>
  <c r="C1830" i="2"/>
  <c r="B1830" i="2"/>
  <c r="A1830" i="2"/>
  <c r="E93" i="2"/>
  <c r="D93" i="2"/>
  <c r="C93" i="2"/>
  <c r="B93" i="2"/>
  <c r="A93" i="2"/>
  <c r="E370" i="2"/>
  <c r="D370" i="2"/>
  <c r="C370" i="2"/>
  <c r="B370" i="2"/>
  <c r="A370" i="2"/>
  <c r="E781" i="2"/>
  <c r="D781" i="2"/>
  <c r="C781" i="2"/>
  <c r="B781" i="2"/>
  <c r="A781" i="2"/>
  <c r="E1238" i="2"/>
  <c r="D1238" i="2"/>
  <c r="C1238" i="2"/>
  <c r="B1238" i="2"/>
  <c r="A1238" i="2"/>
  <c r="E1825" i="2"/>
  <c r="L1825" i="2" s="1"/>
  <c r="O1825" i="2" s="1"/>
  <c r="D1825" i="2"/>
  <c r="C1825" i="2"/>
  <c r="B1825" i="2"/>
  <c r="A1825" i="2"/>
  <c r="E1831" i="2"/>
  <c r="L1831" i="2" s="1"/>
  <c r="O1831" i="2" s="1"/>
  <c r="D1831" i="2"/>
  <c r="C1831" i="2"/>
  <c r="B1831" i="2"/>
  <c r="A1831" i="2"/>
  <c r="E1837" i="2"/>
  <c r="L1837" i="2" s="1"/>
  <c r="O1837" i="2" s="1"/>
  <c r="D1837" i="2"/>
  <c r="C1837" i="2"/>
  <c r="B1837" i="2"/>
  <c r="A1837" i="2"/>
  <c r="E1839" i="2"/>
  <c r="L1839" i="2" s="1"/>
  <c r="D1839" i="2"/>
  <c r="C1839" i="2"/>
  <c r="B1839" i="2"/>
  <c r="A1839" i="2"/>
  <c r="E1840" i="2"/>
  <c r="L1840" i="2" s="1"/>
  <c r="O1840" i="2" s="1"/>
  <c r="D1840" i="2"/>
  <c r="C1840" i="2"/>
  <c r="B1840" i="2"/>
  <c r="A1840" i="2"/>
  <c r="E128" i="2"/>
  <c r="L128" i="2" s="1"/>
  <c r="D128" i="2"/>
  <c r="C128" i="2"/>
  <c r="B128" i="2"/>
  <c r="A128" i="2"/>
  <c r="E1832" i="2"/>
  <c r="L1832" i="2" s="1"/>
  <c r="D1832" i="2"/>
  <c r="C1832" i="2"/>
  <c r="B1832" i="2"/>
  <c r="A1832" i="2"/>
  <c r="E76" i="2"/>
  <c r="L76" i="2" s="1"/>
  <c r="O76" i="2" s="1"/>
  <c r="D76" i="2"/>
  <c r="B76" i="2"/>
  <c r="A76" i="2"/>
  <c r="E312" i="2"/>
  <c r="L312" i="2" s="1"/>
  <c r="O312" i="2" s="1"/>
  <c r="D312" i="2"/>
  <c r="B312" i="2"/>
  <c r="A312" i="2"/>
  <c r="E189" i="2"/>
  <c r="L189" i="2" s="1"/>
  <c r="O189" i="2" s="1"/>
  <c r="D189" i="2"/>
  <c r="B189" i="2"/>
  <c r="A189" i="2"/>
  <c r="E376" i="2"/>
  <c r="L376" i="2" s="1"/>
  <c r="O376" i="2" s="1"/>
  <c r="D376" i="2"/>
  <c r="B376" i="2"/>
  <c r="A376" i="2"/>
  <c r="E145" i="2"/>
  <c r="L145" i="2" s="1"/>
  <c r="O145" i="2" s="1"/>
  <c r="D145" i="2"/>
  <c r="B145" i="2"/>
  <c r="A145" i="2"/>
  <c r="E879" i="2"/>
  <c r="D879" i="2"/>
  <c r="C879" i="2"/>
  <c r="B879" i="2"/>
  <c r="A879" i="2"/>
  <c r="E107" i="2"/>
  <c r="D107" i="2"/>
  <c r="C107" i="2"/>
  <c r="B107" i="2"/>
  <c r="A107" i="2"/>
  <c r="E1816" i="2"/>
  <c r="L1816" i="2" s="1"/>
  <c r="O1816" i="2" s="1"/>
  <c r="D1816" i="2"/>
  <c r="C1816" i="2"/>
  <c r="B1816" i="2"/>
  <c r="A1816" i="2"/>
  <c r="E1492" i="2"/>
  <c r="D1492" i="2"/>
  <c r="C1492" i="2"/>
  <c r="B1492" i="2"/>
  <c r="A1492" i="2"/>
  <c r="E524" i="2"/>
  <c r="L524" i="2" s="1"/>
  <c r="O524" i="2" s="1"/>
  <c r="D524" i="2"/>
  <c r="B524" i="2"/>
  <c r="A524" i="2"/>
  <c r="E83" i="2"/>
  <c r="L83" i="2" s="1"/>
  <c r="D83" i="2"/>
  <c r="B83" i="2"/>
  <c r="A83" i="2"/>
  <c r="E65" i="2"/>
  <c r="L65" i="2" s="1"/>
  <c r="O65" i="2" s="1"/>
  <c r="D65" i="2"/>
  <c r="B65" i="2"/>
  <c r="A65" i="2"/>
  <c r="E71" i="2"/>
  <c r="L71" i="2" s="1"/>
  <c r="O71" i="2" s="1"/>
  <c r="D71" i="2"/>
  <c r="B71" i="2"/>
  <c r="A71" i="2"/>
  <c r="E95" i="2"/>
  <c r="L95" i="2" s="1"/>
  <c r="D95" i="2"/>
  <c r="B95" i="2"/>
  <c r="A95" i="2"/>
  <c r="E94" i="2"/>
  <c r="L94" i="2" s="1"/>
  <c r="O94" i="2" s="1"/>
  <c r="D94" i="2"/>
  <c r="B94" i="2"/>
  <c r="A94" i="2"/>
  <c r="E132" i="2"/>
  <c r="L132" i="2" s="1"/>
  <c r="D132" i="2"/>
  <c r="B132" i="2"/>
  <c r="A132" i="2"/>
  <c r="E197" i="2"/>
  <c r="L197" i="2" s="1"/>
  <c r="O197" i="2" s="1"/>
  <c r="D197" i="2"/>
  <c r="B197" i="2"/>
  <c r="A197" i="2"/>
  <c r="E246" i="2"/>
  <c r="L246" i="2" s="1"/>
  <c r="O246" i="2" s="1"/>
  <c r="D246" i="2"/>
  <c r="B246" i="2"/>
  <c r="A246" i="2"/>
  <c r="E363" i="2"/>
  <c r="L363" i="2" s="1"/>
  <c r="O363" i="2" s="1"/>
  <c r="D363" i="2"/>
  <c r="B363" i="2"/>
  <c r="A363" i="2"/>
  <c r="E626" i="2"/>
  <c r="L626" i="2" s="1"/>
  <c r="O626" i="2" s="1"/>
  <c r="D626" i="2"/>
  <c r="B626" i="2"/>
  <c r="A626" i="2"/>
  <c r="E245" i="2"/>
  <c r="L245" i="2" s="1"/>
  <c r="D245" i="2"/>
  <c r="B245" i="2"/>
  <c r="A245" i="2"/>
  <c r="E38" i="2"/>
  <c r="L38" i="2" s="1"/>
  <c r="O38" i="2" s="1"/>
  <c r="D38" i="2"/>
  <c r="C38" i="2"/>
  <c r="B38" i="2"/>
  <c r="A38" i="2"/>
  <c r="E657" i="2"/>
  <c r="L657" i="2" s="1"/>
  <c r="O657" i="2" s="1"/>
  <c r="D657" i="2"/>
  <c r="C657" i="2"/>
  <c r="B657" i="2"/>
  <c r="A657" i="2"/>
  <c r="E810" i="2"/>
  <c r="L810" i="2" s="1"/>
  <c r="O810" i="2" s="1"/>
  <c r="D810" i="2"/>
  <c r="C810" i="2"/>
  <c r="B810" i="2"/>
  <c r="A810" i="2"/>
  <c r="E244" i="2"/>
  <c r="L244" i="2" s="1"/>
  <c r="O244" i="2" s="1"/>
  <c r="D244" i="2"/>
  <c r="C244" i="2"/>
  <c r="B244" i="2"/>
  <c r="A244" i="2"/>
  <c r="E1325" i="2"/>
  <c r="L1325" i="2" s="1"/>
  <c r="O1325" i="2" s="1"/>
  <c r="D1325" i="2"/>
  <c r="C1325" i="2"/>
  <c r="B1325" i="2"/>
  <c r="A1325" i="2"/>
  <c r="E1486" i="2"/>
  <c r="L1486" i="2" s="1"/>
  <c r="O1486" i="2" s="1"/>
  <c r="D1486" i="2"/>
  <c r="C1486" i="2"/>
  <c r="B1486" i="2"/>
  <c r="A1486" i="2"/>
  <c r="E1691" i="2"/>
  <c r="L1691" i="2" s="1"/>
  <c r="O1691" i="2" s="1"/>
  <c r="D1691" i="2"/>
  <c r="C1691" i="2"/>
  <c r="B1691" i="2"/>
  <c r="A1691" i="2"/>
  <c r="E261" i="2"/>
  <c r="D261" i="2"/>
  <c r="C261" i="2"/>
  <c r="B261" i="2"/>
  <c r="A261" i="2"/>
  <c r="E293" i="2"/>
  <c r="D293" i="2"/>
  <c r="C293" i="2"/>
  <c r="B293" i="2"/>
  <c r="A293" i="2"/>
  <c r="E53" i="2"/>
  <c r="D53" i="2"/>
  <c r="C53" i="2"/>
  <c r="B53" i="2"/>
  <c r="A53" i="2"/>
  <c r="E81" i="2"/>
  <c r="D81" i="2"/>
  <c r="C81" i="2"/>
  <c r="B81" i="2"/>
  <c r="A81" i="2"/>
  <c r="E29" i="2"/>
  <c r="D29" i="2"/>
  <c r="C29" i="2"/>
  <c r="B29" i="2"/>
  <c r="A29" i="2"/>
  <c r="E360" i="2"/>
  <c r="D360" i="2"/>
  <c r="C360" i="2"/>
  <c r="B360" i="2"/>
  <c r="A360" i="2"/>
  <c r="E333" i="2"/>
  <c r="D333" i="2"/>
  <c r="C333" i="2"/>
  <c r="B333" i="2"/>
  <c r="A333" i="2"/>
  <c r="E14" i="2"/>
  <c r="D14" i="2"/>
  <c r="C14" i="2"/>
  <c r="B14" i="2"/>
  <c r="A14" i="2"/>
  <c r="E802" i="2"/>
  <c r="L802" i="2" s="1"/>
  <c r="D802" i="2"/>
  <c r="C802" i="2"/>
  <c r="B802" i="2"/>
  <c r="A802" i="2"/>
  <c r="E1821" i="2"/>
  <c r="L1821" i="2" s="1"/>
  <c r="D1821" i="2"/>
  <c r="C1821" i="2"/>
  <c r="B1821" i="2"/>
  <c r="A1821" i="2"/>
  <c r="E1808" i="2"/>
  <c r="L1808" i="2" s="1"/>
  <c r="O1808" i="2" s="1"/>
  <c r="D1808" i="2"/>
  <c r="C1808" i="2"/>
  <c r="B1808" i="2"/>
  <c r="A1808" i="2"/>
  <c r="E1004" i="2"/>
  <c r="L1004" i="2" s="1"/>
  <c r="D1004" i="2"/>
  <c r="C1004" i="2"/>
  <c r="B1004" i="2"/>
  <c r="A1004" i="2"/>
  <c r="E945" i="2"/>
  <c r="L945" i="2" s="1"/>
  <c r="D945" i="2"/>
  <c r="C945" i="2"/>
  <c r="B945" i="2"/>
  <c r="A945" i="2"/>
  <c r="E919" i="2"/>
  <c r="L919" i="2" s="1"/>
  <c r="O919" i="2" s="1"/>
  <c r="D919" i="2"/>
  <c r="C919" i="2"/>
  <c r="B919" i="2"/>
  <c r="A919" i="2"/>
  <c r="E1324" i="2"/>
  <c r="L1324" i="2" s="1"/>
  <c r="O1324" i="2" s="1"/>
  <c r="D1324" i="2"/>
  <c r="C1324" i="2"/>
  <c r="B1324" i="2"/>
  <c r="A1324" i="2"/>
  <c r="E5" i="2"/>
  <c r="D5" i="2"/>
  <c r="C5" i="2"/>
  <c r="B5" i="2"/>
  <c r="A5" i="2"/>
  <c r="E6" i="2"/>
  <c r="D6" i="2"/>
  <c r="C6" i="2"/>
  <c r="B6" i="2"/>
  <c r="A6" i="2"/>
  <c r="E1767" i="2"/>
  <c r="L1767" i="2" s="1"/>
  <c r="O1767" i="2" s="1"/>
  <c r="D1767" i="2"/>
  <c r="C1767" i="2"/>
  <c r="B1767" i="2"/>
  <c r="A1767" i="2"/>
  <c r="E1829" i="2"/>
  <c r="L1829" i="2" s="1"/>
  <c r="O1829" i="2" s="1"/>
  <c r="D1829" i="2"/>
  <c r="C1829" i="2"/>
  <c r="B1829" i="2"/>
  <c r="A1829" i="2"/>
  <c r="E1514" i="2"/>
  <c r="L1514" i="2" s="1"/>
  <c r="O1514" i="2" s="1"/>
  <c r="D1514" i="2"/>
  <c r="B1514" i="2"/>
  <c r="A1514" i="2"/>
  <c r="E1807" i="2"/>
  <c r="L1807" i="2" s="1"/>
  <c r="O1807" i="2" s="1"/>
  <c r="D1807" i="2"/>
  <c r="B1807" i="2"/>
  <c r="A1807" i="2"/>
  <c r="E1782" i="2"/>
  <c r="L1782" i="2" s="1"/>
  <c r="O1782" i="2" s="1"/>
  <c r="D1782" i="2"/>
  <c r="B1782" i="2"/>
  <c r="A1782" i="2"/>
  <c r="E1806" i="2"/>
  <c r="L1806" i="2" s="1"/>
  <c r="O1806" i="2" s="1"/>
  <c r="D1806" i="2"/>
  <c r="B1806" i="2"/>
  <c r="A1806" i="2"/>
  <c r="E1812" i="2"/>
  <c r="L1812" i="2" s="1"/>
  <c r="D1812" i="2"/>
  <c r="B1812" i="2"/>
  <c r="A1812" i="2"/>
  <c r="E40" i="2"/>
  <c r="D40" i="2"/>
  <c r="B40" i="2"/>
  <c r="A40" i="2"/>
  <c r="E66" i="2"/>
  <c r="L66" i="2" s="1"/>
  <c r="O66" i="2" s="1"/>
  <c r="D66" i="2"/>
  <c r="B66" i="2"/>
  <c r="A66" i="2"/>
  <c r="E1844" i="2"/>
  <c r="L1844" i="2" s="1"/>
  <c r="D1844" i="2"/>
  <c r="B1844" i="2"/>
  <c r="A1844" i="2"/>
  <c r="E135" i="2"/>
  <c r="L135" i="2" s="1"/>
  <c r="O135" i="2" s="1"/>
  <c r="D135" i="2"/>
  <c r="C135" i="2"/>
  <c r="B135" i="2"/>
  <c r="A135" i="2"/>
  <c r="E502" i="2"/>
  <c r="L502" i="2" s="1"/>
  <c r="D502" i="2"/>
  <c r="B502" i="2"/>
  <c r="A502" i="2"/>
  <c r="E35" i="2"/>
  <c r="L35" i="2" s="1"/>
  <c r="O35" i="2" s="1"/>
  <c r="D35" i="2"/>
  <c r="B35" i="2"/>
  <c r="A35" i="2"/>
  <c r="E3" i="2"/>
  <c r="L3" i="2" s="1"/>
  <c r="O3" i="2" s="1"/>
  <c r="D3" i="2"/>
  <c r="B3" i="2"/>
  <c r="A3" i="2"/>
  <c r="E187" i="2"/>
  <c r="L187" i="2" s="1"/>
  <c r="O187" i="2" s="1"/>
  <c r="D187" i="2"/>
  <c r="C187" i="2"/>
  <c r="B187" i="2"/>
  <c r="A187" i="2"/>
  <c r="E465" i="2"/>
  <c r="L465" i="2" s="1"/>
  <c r="O465" i="2" s="1"/>
  <c r="D465" i="2"/>
  <c r="C465" i="2"/>
  <c r="B465" i="2"/>
  <c r="A465" i="2"/>
  <c r="E866" i="2"/>
  <c r="L866" i="2" s="1"/>
  <c r="O866" i="2" s="1"/>
  <c r="D866" i="2"/>
  <c r="C866" i="2"/>
  <c r="B866" i="2"/>
  <c r="A866" i="2"/>
  <c r="E944" i="2"/>
  <c r="L944" i="2" s="1"/>
  <c r="O944" i="2" s="1"/>
  <c r="D944" i="2"/>
  <c r="C944" i="2"/>
  <c r="B944" i="2"/>
  <c r="A944" i="2"/>
  <c r="E918" i="2"/>
  <c r="L918" i="2" s="1"/>
  <c r="O918" i="2" s="1"/>
  <c r="D918" i="2"/>
  <c r="C918" i="2"/>
  <c r="B918" i="2"/>
  <c r="A918" i="2"/>
  <c r="E1499" i="2"/>
  <c r="L1499" i="2" s="1"/>
  <c r="O1499" i="2" s="1"/>
  <c r="D1499" i="2"/>
  <c r="C1499" i="2"/>
  <c r="B1499" i="2"/>
  <c r="A1499" i="2"/>
  <c r="E134" i="2"/>
  <c r="D134" i="2"/>
  <c r="B134" i="2"/>
  <c r="A134" i="2"/>
  <c r="E167" i="2"/>
  <c r="L167" i="2" s="1"/>
  <c r="O167" i="2" s="1"/>
  <c r="D167" i="2"/>
  <c r="B167" i="2"/>
  <c r="A167" i="2"/>
  <c r="E45" i="2"/>
  <c r="L45" i="2" s="1"/>
  <c r="O45" i="2" s="1"/>
  <c r="D45" i="2"/>
  <c r="B45" i="2"/>
  <c r="A45" i="2"/>
  <c r="E113" i="2"/>
  <c r="L113" i="2" s="1"/>
  <c r="O113" i="2" s="1"/>
  <c r="D113" i="2"/>
  <c r="C113" i="2"/>
  <c r="B113" i="2"/>
  <c r="A113" i="2"/>
  <c r="E1189" i="2"/>
  <c r="L1189" i="2" s="1"/>
  <c r="O1189" i="2" s="1"/>
  <c r="D1189" i="2"/>
  <c r="C1189" i="2"/>
  <c r="B1189" i="2"/>
  <c r="A1189" i="2"/>
  <c r="D1599" i="2"/>
  <c r="B1599" i="2"/>
  <c r="A1599" i="2"/>
  <c r="D1598" i="2"/>
  <c r="B1598" i="2"/>
  <c r="A1598" i="2"/>
  <c r="D1597" i="2"/>
  <c r="B1597" i="2"/>
  <c r="A1597" i="2"/>
  <c r="E311" i="2"/>
  <c r="D311" i="2"/>
  <c r="B311" i="2"/>
  <c r="A311" i="2"/>
  <c r="E624" i="2"/>
  <c r="D624" i="2"/>
  <c r="B624" i="2"/>
  <c r="A624" i="2"/>
  <c r="E1117" i="2"/>
  <c r="D1117" i="2"/>
  <c r="B1117" i="2"/>
  <c r="A1117" i="2"/>
  <c r="E27" i="2"/>
  <c r="L27" i="2" s="1"/>
  <c r="O27" i="2" s="1"/>
  <c r="D27" i="2"/>
  <c r="B27" i="2"/>
  <c r="A27" i="2"/>
  <c r="E124" i="2"/>
  <c r="L124" i="2" s="1"/>
  <c r="O124" i="2" s="1"/>
  <c r="D124" i="2"/>
  <c r="B124" i="2"/>
  <c r="A124" i="2"/>
  <c r="E12" i="2"/>
  <c r="L12" i="2" s="1"/>
  <c r="D12" i="2"/>
  <c r="C12" i="2"/>
  <c r="B12" i="2"/>
  <c r="A12" i="2"/>
  <c r="E49" i="2"/>
  <c r="L49" i="2" s="1"/>
  <c r="O49" i="2" s="1"/>
  <c r="D49" i="2"/>
  <c r="C49" i="2"/>
  <c r="B49" i="2"/>
  <c r="A49" i="2"/>
  <c r="E106" i="2"/>
  <c r="L106" i="2" s="1"/>
  <c r="O106" i="2" s="1"/>
  <c r="D106" i="2"/>
  <c r="C106" i="2"/>
  <c r="B106" i="2"/>
  <c r="A106" i="2"/>
  <c r="E50" i="2"/>
  <c r="L50" i="2" s="1"/>
  <c r="O50" i="2" s="1"/>
  <c r="D50" i="2"/>
  <c r="C50" i="2"/>
  <c r="B50" i="2"/>
  <c r="A50" i="2"/>
  <c r="E207" i="2"/>
  <c r="L207" i="2" s="1"/>
  <c r="D207" i="2"/>
  <c r="C207" i="2"/>
  <c r="B207" i="2"/>
  <c r="A207" i="2"/>
  <c r="E86" i="2"/>
  <c r="D86" i="2"/>
  <c r="C86" i="2"/>
  <c r="B86" i="2"/>
  <c r="A86" i="2"/>
  <c r="E272" i="2"/>
  <c r="D272" i="2"/>
  <c r="C272" i="2"/>
  <c r="B272" i="2"/>
  <c r="A272" i="2"/>
  <c r="E242" i="2"/>
  <c r="D242" i="2"/>
  <c r="C242" i="2"/>
  <c r="B242" i="2"/>
  <c r="A242" i="2"/>
  <c r="E1629" i="2"/>
  <c r="D1629" i="2"/>
  <c r="C1629" i="2"/>
  <c r="B1629" i="2"/>
  <c r="A1629" i="2"/>
  <c r="E739" i="2"/>
  <c r="D739" i="2"/>
  <c r="C739" i="2"/>
  <c r="B739" i="2"/>
  <c r="A739" i="2"/>
  <c r="E1811" i="2"/>
  <c r="L1811" i="2" s="1"/>
  <c r="D1811" i="2"/>
  <c r="C1811" i="2"/>
  <c r="B1811" i="2"/>
  <c r="A1811" i="2"/>
  <c r="E1815" i="2"/>
  <c r="L1815" i="2" s="1"/>
  <c r="O1815" i="2" s="1"/>
  <c r="D1815" i="2"/>
  <c r="C1815" i="2"/>
  <c r="B1815" i="2"/>
  <c r="A1815" i="2"/>
  <c r="E1817" i="2"/>
  <c r="L1817" i="2" s="1"/>
  <c r="D1817" i="2"/>
  <c r="C1817" i="2"/>
  <c r="B1817" i="2"/>
  <c r="A1817" i="2"/>
  <c r="E152" i="2"/>
  <c r="D152" i="2"/>
  <c r="C152" i="2"/>
  <c r="B152" i="2"/>
  <c r="A152" i="2"/>
  <c r="E92" i="2"/>
  <c r="D92" i="2"/>
  <c r="C92" i="2"/>
  <c r="B92" i="2"/>
  <c r="A92" i="2"/>
  <c r="E235" i="2"/>
  <c r="D235" i="2"/>
  <c r="C235" i="2"/>
  <c r="B235" i="2"/>
  <c r="A235" i="2"/>
  <c r="E310" i="2"/>
  <c r="D310" i="2"/>
  <c r="C310" i="2"/>
  <c r="B310" i="2"/>
  <c r="A310" i="2"/>
  <c r="E270" i="2"/>
  <c r="D270" i="2"/>
  <c r="C270" i="2"/>
  <c r="B270" i="2"/>
  <c r="A270" i="2"/>
  <c r="E214" i="2"/>
  <c r="D214" i="2"/>
  <c r="C214" i="2"/>
  <c r="B214" i="2"/>
  <c r="A214" i="2"/>
  <c r="E151" i="2"/>
  <c r="D151" i="2"/>
  <c r="C151" i="2"/>
  <c r="B151" i="2"/>
  <c r="A151" i="2"/>
  <c r="E150" i="2"/>
  <c r="D150" i="2"/>
  <c r="C150" i="2"/>
  <c r="B150" i="2"/>
  <c r="A150" i="2"/>
  <c r="E138" i="2"/>
  <c r="D138" i="2"/>
  <c r="C138" i="2"/>
  <c r="B138" i="2"/>
  <c r="A138" i="2"/>
  <c r="E342" i="2"/>
  <c r="D342" i="2"/>
  <c r="B342" i="2"/>
  <c r="A342" i="2"/>
  <c r="E1801" i="2"/>
  <c r="L1801" i="2" s="1"/>
  <c r="O1801" i="2" s="1"/>
  <c r="D1801" i="2"/>
  <c r="C1801" i="2"/>
  <c r="B1801" i="2"/>
  <c r="A1801" i="2"/>
  <c r="E37" i="2"/>
  <c r="D37" i="2"/>
  <c r="B37" i="2"/>
  <c r="A37" i="2"/>
  <c r="E111" i="2"/>
  <c r="L111" i="2" s="1"/>
  <c r="O111" i="2" s="1"/>
  <c r="D111" i="2"/>
  <c r="B111" i="2"/>
  <c r="A111" i="2"/>
  <c r="E206" i="2"/>
  <c r="L206" i="2" s="1"/>
  <c r="O206" i="2" s="1"/>
  <c r="D206" i="2"/>
  <c r="B206" i="2"/>
  <c r="A206" i="2"/>
  <c r="E1178" i="2"/>
  <c r="L1178" i="2" s="1"/>
  <c r="O1178" i="2" s="1"/>
  <c r="D1178" i="2"/>
  <c r="B1178" i="2"/>
  <c r="A1178" i="2"/>
  <c r="E1655" i="2"/>
  <c r="L1655" i="2" s="1"/>
  <c r="O1655" i="2" s="1"/>
  <c r="D1655" i="2"/>
  <c r="B1655" i="2"/>
  <c r="A1655" i="2"/>
  <c r="E326" i="2"/>
  <c r="L326" i="2" s="1"/>
  <c r="O326" i="2" s="1"/>
  <c r="D326" i="2"/>
  <c r="B326" i="2"/>
  <c r="A326" i="2"/>
  <c r="E89" i="2"/>
  <c r="L89" i="2" s="1"/>
  <c r="O89" i="2" s="1"/>
  <c r="D89" i="2"/>
  <c r="B89" i="2"/>
  <c r="A89" i="2"/>
  <c r="E168" i="2"/>
  <c r="L168" i="2" s="1"/>
  <c r="O168" i="2" s="1"/>
  <c r="D168" i="2"/>
  <c r="C168" i="2"/>
  <c r="B168" i="2"/>
  <c r="A168" i="2"/>
  <c r="E157" i="2"/>
  <c r="L157" i="2" s="1"/>
  <c r="O157" i="2" s="1"/>
  <c r="D157" i="2"/>
  <c r="C157" i="2"/>
  <c r="B157" i="2"/>
  <c r="A157" i="2"/>
  <c r="E141" i="2"/>
  <c r="L141" i="2" s="1"/>
  <c r="O141" i="2" s="1"/>
  <c r="D141" i="2"/>
  <c r="C141" i="2"/>
  <c r="B141" i="2"/>
  <c r="A141" i="2"/>
  <c r="E499" i="2"/>
  <c r="L499" i="2" s="1"/>
  <c r="O499" i="2" s="1"/>
  <c r="D499" i="2"/>
  <c r="C499" i="2"/>
  <c r="B499" i="2"/>
  <c r="A499" i="2"/>
  <c r="E96" i="2"/>
  <c r="L96" i="2" s="1"/>
  <c r="O96" i="2" s="1"/>
  <c r="D96" i="2"/>
  <c r="C96" i="2"/>
  <c r="B96" i="2"/>
  <c r="A96" i="2"/>
  <c r="E943" i="2"/>
  <c r="L943" i="2" s="1"/>
  <c r="O943" i="2" s="1"/>
  <c r="D943" i="2"/>
  <c r="C943" i="2"/>
  <c r="B943" i="2"/>
  <c r="A943" i="2"/>
  <c r="E559" i="2"/>
  <c r="L559" i="2" s="1"/>
  <c r="O559" i="2" s="1"/>
  <c r="D559" i="2"/>
  <c r="C559" i="2"/>
  <c r="B559" i="2"/>
  <c r="A559" i="2"/>
  <c r="E1365" i="2"/>
  <c r="L1365" i="2" s="1"/>
  <c r="O1365" i="2" s="1"/>
  <c r="D1365" i="2"/>
  <c r="C1365" i="2"/>
  <c r="B1365" i="2"/>
  <c r="A1365" i="2"/>
  <c r="E298" i="2"/>
  <c r="L298" i="2" s="1"/>
  <c r="O298" i="2" s="1"/>
  <c r="D298" i="2"/>
  <c r="C298" i="2"/>
  <c r="B298" i="2"/>
  <c r="A298" i="2"/>
  <c r="E297" i="2"/>
  <c r="L297" i="2" s="1"/>
  <c r="O297" i="2" s="1"/>
  <c r="D297" i="2"/>
  <c r="C297" i="2"/>
  <c r="B297" i="2"/>
  <c r="A297" i="2"/>
  <c r="E88" i="2"/>
  <c r="L88" i="2" s="1"/>
  <c r="O88" i="2" s="1"/>
  <c r="D88" i="2"/>
  <c r="C88" i="2"/>
  <c r="B88" i="2"/>
  <c r="A88" i="2"/>
  <c r="E231" i="2"/>
  <c r="L231" i="2" s="1"/>
  <c r="O231" i="2" s="1"/>
  <c r="D231" i="2"/>
  <c r="C231" i="2"/>
  <c r="B231" i="2"/>
  <c r="A231" i="2"/>
  <c r="E498" i="2"/>
  <c r="L498" i="2" s="1"/>
  <c r="D498" i="2"/>
  <c r="C498" i="2"/>
  <c r="B498" i="2"/>
  <c r="A498" i="2"/>
  <c r="E425" i="2"/>
  <c r="L425" i="2" s="1"/>
  <c r="O425" i="2" s="1"/>
  <c r="D425" i="2"/>
  <c r="C425" i="2"/>
  <c r="B425" i="2"/>
  <c r="A425" i="2"/>
  <c r="E1058" i="2"/>
  <c r="L1058" i="2" s="1"/>
  <c r="O1058" i="2" s="1"/>
  <c r="D1058" i="2"/>
  <c r="C1058" i="2"/>
  <c r="B1058" i="2"/>
  <c r="A1058" i="2"/>
  <c r="E56" i="2"/>
  <c r="L56" i="2" s="1"/>
  <c r="O56" i="2" s="1"/>
  <c r="D56" i="2"/>
  <c r="C56" i="2"/>
  <c r="B56" i="2"/>
  <c r="A56" i="2"/>
  <c r="E117" i="2"/>
  <c r="L117" i="2" s="1"/>
  <c r="O117" i="2" s="1"/>
  <c r="D117" i="2"/>
  <c r="C117" i="2"/>
  <c r="B117" i="2"/>
  <c r="A117" i="2"/>
  <c r="E1805" i="2"/>
  <c r="L1805" i="2" s="1"/>
  <c r="O1805" i="2" s="1"/>
  <c r="D1805" i="2"/>
  <c r="C1805" i="2"/>
  <c r="B1805" i="2"/>
  <c r="A1805" i="2"/>
  <c r="E34" i="2"/>
  <c r="L34" i="2" s="1"/>
  <c r="O34" i="2" s="1"/>
  <c r="D34" i="2"/>
  <c r="C34" i="2"/>
  <c r="B34" i="2"/>
  <c r="A34" i="2"/>
  <c r="E85" i="2"/>
  <c r="L85" i="2" s="1"/>
  <c r="O85" i="2" s="1"/>
  <c r="D85" i="2"/>
  <c r="C85" i="2"/>
  <c r="B85" i="2"/>
  <c r="A85" i="2"/>
  <c r="E159" i="2"/>
  <c r="L159" i="2" s="1"/>
  <c r="O159" i="2" s="1"/>
  <c r="D159" i="2"/>
  <c r="C159" i="2"/>
  <c r="B159" i="2"/>
  <c r="A159" i="2"/>
  <c r="E274" i="2"/>
  <c r="L274" i="2" s="1"/>
  <c r="O274" i="2" s="1"/>
  <c r="D274" i="2"/>
  <c r="C274" i="2"/>
  <c r="B274" i="2"/>
  <c r="A274" i="2"/>
  <c r="E803" i="2"/>
  <c r="L803" i="2" s="1"/>
  <c r="O803" i="2" s="1"/>
  <c r="D803" i="2"/>
  <c r="C803" i="2"/>
  <c r="B803" i="2"/>
  <c r="A803" i="2"/>
  <c r="E1128" i="2"/>
  <c r="L1128" i="2" s="1"/>
  <c r="O1128" i="2" s="1"/>
  <c r="D1128" i="2"/>
  <c r="C1128" i="2"/>
  <c r="B1128" i="2"/>
  <c r="A1128" i="2"/>
  <c r="E1231" i="2"/>
  <c r="L1231" i="2" s="1"/>
  <c r="O1231" i="2" s="1"/>
  <c r="D1231" i="2"/>
  <c r="C1231" i="2"/>
  <c r="B1231" i="2"/>
  <c r="A1231" i="2"/>
  <c r="E1127" i="2"/>
  <c r="L1127" i="2" s="1"/>
  <c r="O1127" i="2" s="1"/>
  <c r="D1127" i="2"/>
  <c r="C1127" i="2"/>
  <c r="B1127" i="2"/>
  <c r="A1127" i="2"/>
  <c r="E1535" i="2"/>
  <c r="L1535" i="2" s="1"/>
  <c r="O1535" i="2" s="1"/>
  <c r="D1535" i="2"/>
  <c r="C1535" i="2"/>
  <c r="B1535" i="2"/>
  <c r="A1535" i="2"/>
  <c r="E1600" i="2"/>
  <c r="L1600" i="2" s="1"/>
  <c r="D1600" i="2"/>
  <c r="C1600" i="2"/>
  <c r="B1600" i="2"/>
  <c r="A1600" i="2"/>
  <c r="E2" i="2"/>
  <c r="D2" i="2"/>
  <c r="C2" i="2"/>
  <c r="B2" i="2"/>
  <c r="A2" i="2"/>
  <c r="E271" i="2"/>
  <c r="L271" i="2" s="1"/>
  <c r="D271" i="2"/>
  <c r="C271" i="2"/>
  <c r="B271" i="2"/>
  <c r="A271" i="2"/>
  <c r="E1823" i="2"/>
  <c r="L1823" i="2" s="1"/>
  <c r="D1823" i="2"/>
  <c r="C1823" i="2"/>
  <c r="B1823" i="2"/>
  <c r="A1823" i="2"/>
  <c r="E1827" i="2"/>
  <c r="L1827" i="2" s="1"/>
  <c r="O1827" i="2" s="1"/>
  <c r="D1827" i="2"/>
  <c r="C1827" i="2"/>
  <c r="B1827" i="2"/>
  <c r="A1827" i="2"/>
  <c r="E1826" i="2"/>
  <c r="L1826" i="2" s="1"/>
  <c r="O1826" i="2" s="1"/>
  <c r="D1826" i="2"/>
  <c r="C1826" i="2"/>
  <c r="B1826" i="2"/>
  <c r="A1826" i="2"/>
  <c r="E230" i="2"/>
  <c r="L230" i="2" s="1"/>
  <c r="O230" i="2" s="1"/>
  <c r="D230" i="2"/>
  <c r="B230" i="2"/>
  <c r="A230" i="2"/>
  <c r="E1836" i="2"/>
  <c r="L1836" i="2" s="1"/>
  <c r="O1836" i="2" s="1"/>
  <c r="D1836" i="2"/>
  <c r="C1836" i="2"/>
  <c r="B1836" i="2"/>
  <c r="A1836" i="2"/>
  <c r="E1820" i="2"/>
  <c r="L1820" i="2" s="1"/>
  <c r="O1820" i="2" s="1"/>
  <c r="D1820" i="2"/>
  <c r="B1820" i="2"/>
  <c r="A1820" i="2"/>
  <c r="E9" i="2"/>
  <c r="L9" i="2" s="1"/>
  <c r="O9" i="2" s="1"/>
  <c r="D9" i="2"/>
  <c r="B9" i="2"/>
  <c r="A9" i="2"/>
  <c r="E8" i="2"/>
  <c r="L8" i="2" s="1"/>
  <c r="O8" i="2" s="1"/>
  <c r="D8" i="2"/>
  <c r="B8" i="2"/>
  <c r="A8" i="2"/>
  <c r="E75" i="2"/>
  <c r="L75" i="2" s="1"/>
  <c r="O75" i="2" s="1"/>
  <c r="D75" i="2"/>
  <c r="B75" i="2"/>
  <c r="A75" i="2"/>
  <c r="E74" i="2"/>
  <c r="L74" i="2" s="1"/>
  <c r="O74" i="2" s="1"/>
  <c r="D74" i="2"/>
  <c r="B74" i="2"/>
  <c r="A74" i="2"/>
  <c r="E229" i="2"/>
  <c r="L229" i="2" s="1"/>
  <c r="O229" i="2" s="1"/>
  <c r="D229" i="2"/>
  <c r="B229" i="2"/>
  <c r="A229" i="2"/>
  <c r="E15" i="2"/>
  <c r="L15" i="2" s="1"/>
  <c r="O15" i="2" s="1"/>
  <c r="D15" i="2"/>
  <c r="B15" i="2"/>
  <c r="A15" i="2"/>
  <c r="E17" i="2"/>
  <c r="L17" i="2" s="1"/>
  <c r="D17" i="2"/>
  <c r="B17" i="2"/>
  <c r="A17" i="2"/>
  <c r="E185" i="2"/>
  <c r="L185" i="2" s="1"/>
  <c r="O185" i="2" s="1"/>
  <c r="D185" i="2"/>
  <c r="B185" i="2"/>
  <c r="A185" i="2"/>
  <c r="E395" i="2"/>
  <c r="L395" i="2" s="1"/>
  <c r="O395" i="2" s="1"/>
  <c r="D395" i="2"/>
  <c r="B395" i="2"/>
  <c r="A395" i="2"/>
  <c r="E503" i="2"/>
  <c r="L503" i="2" s="1"/>
  <c r="O503" i="2" s="1"/>
  <c r="D503" i="2"/>
  <c r="B503" i="2"/>
  <c r="A503" i="2"/>
  <c r="E1049" i="2"/>
  <c r="L1049" i="2" s="1"/>
  <c r="O1049" i="2" s="1"/>
  <c r="D1049" i="2"/>
  <c r="B1049" i="2"/>
  <c r="A1049" i="2"/>
  <c r="E1048" i="2"/>
  <c r="L1048" i="2" s="1"/>
  <c r="O1048" i="2" s="1"/>
  <c r="D1048" i="2"/>
  <c r="B1048" i="2"/>
  <c r="A1048" i="2"/>
  <c r="E1270" i="2"/>
  <c r="L1270" i="2" s="1"/>
  <c r="O1270" i="2" s="1"/>
  <c r="D1270" i="2"/>
  <c r="B1270" i="2"/>
  <c r="A1270" i="2"/>
  <c r="E55" i="2"/>
  <c r="D55" i="2"/>
  <c r="C55" i="2"/>
  <c r="B55" i="2"/>
  <c r="A55" i="2"/>
  <c r="E79" i="2"/>
  <c r="D79" i="2"/>
  <c r="C79" i="2"/>
  <c r="B79" i="2"/>
  <c r="A79" i="2"/>
  <c r="E26" i="2"/>
  <c r="D26" i="2"/>
  <c r="C26" i="2"/>
  <c r="B26" i="2"/>
  <c r="A26" i="2"/>
  <c r="E98" i="2"/>
  <c r="D98" i="2"/>
  <c r="C98" i="2"/>
  <c r="B98" i="2"/>
  <c r="A98" i="2"/>
  <c r="E143" i="2"/>
  <c r="D143" i="2"/>
  <c r="C143" i="2"/>
  <c r="B143" i="2"/>
  <c r="A143" i="2"/>
  <c r="E72" i="2"/>
  <c r="D72" i="2"/>
  <c r="C72" i="2"/>
  <c r="B72" i="2"/>
  <c r="A72" i="2"/>
  <c r="E1804" i="2"/>
  <c r="L1804" i="2" s="1"/>
  <c r="O1804" i="2" s="1"/>
  <c r="D1804" i="2"/>
  <c r="C1804" i="2"/>
  <c r="B1804" i="2"/>
  <c r="A1804" i="2"/>
  <c r="E1809" i="2"/>
  <c r="L1809" i="2" s="1"/>
  <c r="O1809" i="2" s="1"/>
  <c r="D1809" i="2"/>
  <c r="C1809" i="2"/>
  <c r="B1809" i="2"/>
  <c r="A1809" i="2"/>
  <c r="E1813" i="2"/>
  <c r="L1813" i="2" s="1"/>
  <c r="D1813" i="2"/>
  <c r="C1813" i="2"/>
  <c r="B1813" i="2"/>
  <c r="A1813" i="2"/>
  <c r="E1818" i="2"/>
  <c r="L1818" i="2" s="1"/>
  <c r="O1818" i="2" s="1"/>
  <c r="D1818" i="2"/>
  <c r="C1818" i="2"/>
  <c r="B1818" i="2"/>
  <c r="A1818" i="2"/>
  <c r="E1" i="2"/>
  <c r="D1" i="2"/>
  <c r="C1" i="2"/>
  <c r="A1" i="2"/>
  <c r="O659" i="2" l="1"/>
  <c r="O856" i="2"/>
  <c r="O1233" i="2"/>
  <c r="O888" i="2"/>
  <c r="O1287" i="2"/>
  <c r="O1389" i="2"/>
  <c r="O1080" i="2"/>
  <c r="O1675" i="2"/>
  <c r="O951" i="2"/>
  <c r="O1747" i="2"/>
  <c r="O1687" i="2"/>
  <c r="O707" i="2"/>
  <c r="O1839" i="2"/>
  <c r="O1601" i="2"/>
  <c r="O1349" i="2"/>
  <c r="O1797" i="2"/>
  <c r="O1298" i="2"/>
  <c r="O822" i="2"/>
  <c r="O1054" i="2"/>
  <c r="O1084" i="2"/>
  <c r="O826" i="2"/>
  <c r="O1615" i="2"/>
  <c r="O669" i="2"/>
  <c r="O1849" i="2"/>
  <c r="O697" i="2"/>
  <c r="O1008" i="2"/>
  <c r="O939" i="2"/>
  <c r="O955" i="2"/>
  <c r="O752" i="2"/>
  <c r="O578" i="2"/>
  <c r="O1817" i="2"/>
  <c r="O996" i="2"/>
  <c r="O1369" i="2"/>
  <c r="O727" i="2"/>
  <c r="O808" i="2"/>
  <c r="O675" i="2"/>
  <c r="O1735" i="2"/>
  <c r="O1302" i="2"/>
  <c r="O628" i="2"/>
  <c r="O511" i="2"/>
  <c r="O568" i="2"/>
  <c r="O748" i="2"/>
  <c r="O1317" i="2"/>
  <c r="O1724" i="2"/>
  <c r="O1769" i="2"/>
  <c r="O1590" i="2"/>
  <c r="O639" i="2"/>
  <c r="O932" i="2"/>
  <c r="O498" i="2"/>
  <c r="O616" i="2"/>
  <c r="O507" i="2"/>
  <c r="O1327" i="2"/>
  <c r="O1456" i="2"/>
  <c r="O1065" i="2"/>
  <c r="O1494" i="2"/>
  <c r="O1180" i="2"/>
  <c r="O703" i="2"/>
  <c r="O552" i="2"/>
  <c r="O596" i="2"/>
  <c r="O1440" i="2"/>
  <c r="O522" i="2"/>
  <c r="O1042" i="2"/>
  <c r="O635" i="2"/>
  <c r="O472" i="2"/>
  <c r="O945" i="2"/>
  <c r="O802" i="2"/>
  <c r="O526" i="2"/>
  <c r="O928" i="2"/>
  <c r="O574" i="2"/>
  <c r="O1391" i="2"/>
  <c r="O1096" i="2"/>
  <c r="O709" i="2"/>
  <c r="O1071" i="2"/>
  <c r="O422" i="2"/>
  <c r="O468" i="2"/>
  <c r="O1841" i="2"/>
  <c r="O992" i="2"/>
  <c r="O1406" i="2"/>
  <c r="O1676" i="2"/>
  <c r="O1370" i="2"/>
  <c r="O1441" i="2"/>
  <c r="O1070" i="2"/>
  <c r="O753" i="2"/>
  <c r="O1044" i="2"/>
  <c r="O900" i="2"/>
  <c r="O447" i="2"/>
  <c r="O1355" i="2"/>
  <c r="O351" i="2"/>
  <c r="O1431" i="2"/>
  <c r="O1014" i="2"/>
  <c r="O1132" i="2"/>
  <c r="O1497" i="2"/>
  <c r="O1086" i="2"/>
  <c r="O1617" i="2"/>
  <c r="O804" i="2"/>
  <c r="O254" i="2"/>
  <c r="O920" i="2"/>
  <c r="O1607" i="2"/>
  <c r="O1677" i="2"/>
  <c r="O1344" i="2"/>
  <c r="O1851" i="2"/>
  <c r="O1283" i="2"/>
  <c r="O631" i="2"/>
  <c r="O1227" i="2"/>
  <c r="O699" i="2"/>
  <c r="O437" i="2"/>
  <c r="O279" i="2"/>
  <c r="O1329" i="2"/>
  <c r="O1340" i="2"/>
  <c r="O1667" i="2"/>
  <c r="O844" i="2"/>
  <c r="O1377" i="2"/>
  <c r="O1538" i="2"/>
  <c r="O1039" i="2"/>
  <c r="O1737" i="2"/>
  <c r="O766" i="2"/>
  <c r="O1191" i="2"/>
  <c r="O1318" i="2"/>
  <c r="O1130" i="2"/>
  <c r="O1043" i="2"/>
  <c r="O1023" i="2"/>
  <c r="O384" i="2"/>
  <c r="O827" i="2"/>
  <c r="O1353" i="2"/>
  <c r="O1552" i="2"/>
  <c r="O588" i="2"/>
  <c r="O1605" i="2"/>
  <c r="O1712" i="2"/>
  <c r="O1429" i="2"/>
  <c r="O1472" i="2"/>
  <c r="O1012" i="2"/>
  <c r="O792" i="2"/>
  <c r="O1141" i="2"/>
  <c r="O1001" i="2"/>
  <c r="O349" i="2"/>
  <c r="O140" i="2"/>
  <c r="O1531" i="2"/>
  <c r="O1090" i="2"/>
  <c r="O1244" i="2"/>
  <c r="O1174" i="2"/>
  <c r="O494" i="2"/>
  <c r="O1197" i="2"/>
  <c r="O1217" i="2"/>
  <c r="O1018" i="2"/>
  <c r="O1025" i="2"/>
  <c r="O744" i="2"/>
  <c r="O255" i="2"/>
  <c r="O713" i="2"/>
  <c r="O416" i="2"/>
  <c r="O1147" i="2"/>
  <c r="O961" i="2"/>
  <c r="O758" i="2"/>
  <c r="O484" i="2"/>
  <c r="O353" i="2"/>
  <c r="O180" i="2"/>
  <c r="O645" i="2"/>
  <c r="O832" i="2"/>
  <c r="O622" i="2"/>
  <c r="O1028" i="2"/>
  <c r="O1207" i="2"/>
  <c r="O733" i="2"/>
  <c r="O842" i="2"/>
  <c r="O1125" i="2"/>
  <c r="O1853" i="2"/>
  <c r="O1683" i="2"/>
  <c r="O1743" i="2"/>
  <c r="O1644" i="2"/>
  <c r="O1264" i="2"/>
  <c r="O1425" i="2"/>
  <c r="O904" i="2"/>
  <c r="O1775" i="2"/>
  <c r="O1693" i="2"/>
  <c r="O1545" i="2"/>
  <c r="O1436" i="2"/>
  <c r="O1811" i="2"/>
  <c r="O1821" i="2"/>
  <c r="O1835" i="2"/>
  <c r="O1611" i="2"/>
  <c r="O1516" i="2"/>
  <c r="O1792" i="2"/>
  <c r="O1576" i="2"/>
  <c r="O1777" i="2"/>
  <c r="O1803" i="2"/>
  <c r="O1790" i="2"/>
  <c r="O1754" i="2"/>
  <c r="O1823" i="2"/>
  <c r="O1845" i="2"/>
  <c r="O1720" i="2"/>
  <c r="O1843" i="2"/>
  <c r="O1654" i="2"/>
  <c r="O1412" i="2"/>
  <c r="O1813" i="2"/>
  <c r="O1764" i="2"/>
  <c r="O1501" i="2"/>
  <c r="O1525" i="2"/>
  <c r="O1652" i="2"/>
  <c r="O1046" i="2"/>
  <c r="O1648" i="2"/>
  <c r="O412" i="2"/>
  <c r="O386" i="2"/>
  <c r="O1706" i="2"/>
  <c r="O1151" i="2"/>
  <c r="O1116" i="2"/>
  <c r="O1323" i="2"/>
  <c r="O291" i="2"/>
  <c r="O836" i="2"/>
  <c r="O649" i="2"/>
  <c r="O1321" i="2"/>
  <c r="O1026" i="2"/>
  <c r="O1242" i="2"/>
  <c r="O1172" i="2"/>
  <c r="O892" i="2"/>
  <c r="O959" i="2"/>
  <c r="O949" i="2"/>
  <c r="O281" i="2"/>
  <c r="O711" i="2"/>
  <c r="O227" i="2"/>
  <c r="O1215" i="2"/>
  <c r="O1016" i="2"/>
  <c r="O1079" i="2"/>
  <c r="O338" i="2"/>
  <c r="O403" i="2"/>
  <c r="O619" i="2"/>
  <c r="O634" i="2"/>
  <c r="O821" i="2"/>
  <c r="O1017" i="2"/>
  <c r="O1524" i="2"/>
  <c r="O329" i="2"/>
  <c r="O755" i="2"/>
  <c r="O1133" i="2"/>
  <c r="O1184" i="2"/>
  <c r="O710" i="2"/>
  <c r="O387" i="2"/>
  <c r="O271" i="2"/>
  <c r="O1600" i="2"/>
  <c r="O128" i="2"/>
  <c r="O1830" i="2"/>
  <c r="O561" i="2"/>
  <c r="O144" i="2"/>
  <c r="O426" i="2"/>
  <c r="O344" i="2"/>
  <c r="O1842" i="2"/>
  <c r="O797" i="2"/>
  <c r="O162" i="2"/>
  <c r="O1228" i="2"/>
  <c r="O1774" i="2"/>
  <c r="O529" i="2"/>
  <c r="O316" i="2"/>
  <c r="O280" i="2"/>
  <c r="O958" i="2"/>
  <c r="O146" i="2"/>
  <c r="O1320" i="2"/>
  <c r="O1727" i="2"/>
  <c r="O491" i="2"/>
  <c r="O720" i="2"/>
  <c r="O1072" i="2"/>
  <c r="O978" i="2"/>
  <c r="O1513" i="2"/>
  <c r="O1284" i="2"/>
  <c r="O922" i="2"/>
  <c r="O1593" i="2"/>
  <c r="O891" i="2"/>
  <c r="O379" i="2"/>
  <c r="O1144" i="2"/>
  <c r="O573" i="2"/>
  <c r="O757" i="2"/>
  <c r="O1475" i="2"/>
  <c r="O318" i="2"/>
  <c r="O581" i="2"/>
  <c r="O829" i="2"/>
  <c r="O1459" i="2"/>
  <c r="O1690" i="2"/>
  <c r="O1715" i="2"/>
  <c r="O1680" i="2"/>
  <c r="O12" i="2"/>
  <c r="O1810" i="2"/>
  <c r="O62" i="2"/>
  <c r="O44" i="2"/>
  <c r="O247" i="2"/>
  <c r="O1271" i="2"/>
  <c r="O1573" i="2"/>
  <c r="O893" i="2"/>
  <c r="O1330" i="2"/>
  <c r="O993" i="2"/>
  <c r="O365" i="2"/>
  <c r="O424" i="2"/>
  <c r="O1286" i="2"/>
  <c r="O1556" i="2"/>
  <c r="O301" i="2"/>
  <c r="O192" i="2"/>
  <c r="O521" i="2"/>
  <c r="O1297" i="2"/>
  <c r="O1241" i="2"/>
  <c r="O438" i="2"/>
  <c r="O97" i="2"/>
  <c r="O948" i="2"/>
  <c r="O1097" i="2"/>
  <c r="O539" i="2"/>
  <c r="O448" i="2"/>
  <c r="O1204" i="2"/>
  <c r="O652" i="2"/>
  <c r="O1544" i="2"/>
  <c r="O17" i="2"/>
  <c r="O1844" i="2"/>
  <c r="O1409" i="2"/>
  <c r="O1007" i="2"/>
  <c r="O502" i="2"/>
  <c r="O327" i="2"/>
  <c r="O1059" i="2"/>
  <c r="O505" i="2"/>
  <c r="O303" i="2"/>
  <c r="O268" i="2"/>
  <c r="O210" i="2"/>
  <c r="O935" i="2"/>
  <c r="O226" i="2"/>
  <c r="O571" i="2"/>
  <c r="O1015" i="2"/>
  <c r="O481" i="2"/>
  <c r="O352" i="2"/>
  <c r="O413" i="2"/>
  <c r="O207" i="2"/>
  <c r="O995" i="2"/>
  <c r="O245" i="2"/>
  <c r="O132" i="2"/>
  <c r="O83" i="2"/>
  <c r="O1122" i="2"/>
  <c r="O46" i="2"/>
  <c r="O1789" i="2"/>
  <c r="O927" i="2"/>
  <c r="O660" i="2"/>
  <c r="O1057" i="2"/>
  <c r="O819" i="2"/>
  <c r="O700" i="2"/>
  <c r="O1432" i="2"/>
  <c r="O519" i="2"/>
  <c r="O1004" i="2"/>
  <c r="O95" i="2"/>
  <c r="O1852" i="2"/>
  <c r="O1345" i="2"/>
  <c r="O805" i="2"/>
  <c r="O377" i="2"/>
  <c r="O1171" i="2"/>
  <c r="O730" i="2"/>
  <c r="O1608" i="2"/>
  <c r="O1045" i="2"/>
  <c r="O1356" i="2"/>
  <c r="O901" i="2"/>
  <c r="O642" i="2"/>
  <c r="O290" i="2"/>
  <c r="O721" i="2"/>
  <c r="O796" i="2"/>
  <c r="O651" i="2"/>
  <c r="O550" i="2"/>
  <c r="O1498" i="2"/>
  <c r="O1248" i="2"/>
  <c r="O558" i="2"/>
  <c r="O718" i="2"/>
  <c r="O1784" i="2"/>
  <c r="O411" i="2"/>
  <c r="O489" i="2"/>
  <c r="O1105" i="2"/>
  <c r="O589" i="2"/>
  <c r="O1380" i="2"/>
  <c r="O976" i="2"/>
  <c r="O1002" i="2"/>
  <c r="O933" i="2"/>
  <c r="O708" i="2"/>
  <c r="O1095" i="2"/>
  <c r="O1659" i="2"/>
  <c r="O336" i="2"/>
  <c r="O288" i="2"/>
  <c r="O629" i="2"/>
  <c r="O1457" i="2"/>
  <c r="O1496" i="2"/>
  <c r="O467" i="2"/>
  <c r="O1748" i="2"/>
  <c r="O670" i="2"/>
  <c r="O991" i="2"/>
  <c r="O1390" i="2"/>
  <c r="O650" i="2"/>
  <c r="O1192" i="2"/>
  <c r="O1293" i="2"/>
  <c r="O1591" i="2"/>
  <c r="O640" i="2"/>
  <c r="O385" i="2"/>
  <c r="O773" i="2"/>
  <c r="O241" i="2"/>
  <c r="O857" i="2"/>
  <c r="O1354" i="2"/>
  <c r="O1798" i="2"/>
  <c r="O1553" i="2"/>
  <c r="O1736" i="2"/>
  <c r="O1182" i="2"/>
  <c r="O1131" i="2"/>
  <c r="O1606" i="2"/>
  <c r="O1013" i="2"/>
  <c r="O537" i="2"/>
  <c r="O1828" i="2"/>
  <c r="O479" i="2"/>
  <c r="O1142" i="2"/>
  <c r="O1581" i="2"/>
  <c r="O1162" i="2"/>
  <c r="O123" i="2"/>
  <c r="O1416" i="2"/>
  <c r="O772" i="2"/>
  <c r="O546" i="2"/>
  <c r="O1625" i="2"/>
  <c r="O1688" i="2"/>
  <c r="O233" i="2"/>
  <c r="O1616" i="2"/>
  <c r="O1237" i="2"/>
  <c r="O253" i="2"/>
  <c r="O717" i="2"/>
  <c r="O105" i="2"/>
  <c r="O324" i="2"/>
  <c r="O1783" i="2"/>
  <c r="O1725" i="2"/>
  <c r="O1292" i="2"/>
  <c r="O1658" i="2"/>
  <c r="O512" i="2"/>
  <c r="O762" i="2"/>
  <c r="O252" i="2"/>
  <c r="O445" i="2"/>
  <c r="O446" i="2"/>
  <c r="O763" i="2"/>
  <c r="O1700" i="2"/>
  <c r="O1022" i="2"/>
  <c r="O579" i="2"/>
  <c r="O420" i="2"/>
  <c r="O1476" i="2"/>
  <c r="O1689" i="2"/>
  <c r="O830" i="2"/>
  <c r="O1305" i="2"/>
  <c r="O1418" i="2"/>
  <c r="O1740" i="2"/>
  <c r="O908" i="2"/>
  <c r="O839" i="2"/>
  <c r="O388" i="2"/>
  <c r="O1702" i="2"/>
  <c r="O1251" i="2"/>
  <c r="O1662" i="2"/>
  <c r="O1762" i="2"/>
  <c r="O582" i="2"/>
  <c r="O1223" i="2"/>
  <c r="O1269" i="2"/>
  <c r="O1055" i="2"/>
  <c r="O990" i="2"/>
  <c r="O1609" i="2"/>
  <c r="O1564" i="2"/>
  <c r="O1618" i="2"/>
  <c r="O1195" i="2"/>
  <c r="O1098" i="2"/>
  <c r="O1372" i="2"/>
  <c r="O1649" i="2"/>
  <c r="O1661" i="2"/>
  <c r="O449" i="2"/>
  <c r="O1152" i="2"/>
  <c r="O909" i="2"/>
  <c r="O1123" i="2"/>
  <c r="O1272" i="2"/>
  <c r="O1104" i="2"/>
  <c r="O1626" i="2"/>
  <c r="O1033" i="2"/>
  <c r="O1542" i="2"/>
  <c r="O1343" i="2"/>
  <c r="O547" i="2"/>
  <c r="O1417" i="2"/>
  <c r="O1202" i="2"/>
  <c r="O906" i="2"/>
  <c r="O770" i="2"/>
  <c r="O1699" i="2"/>
  <c r="O1154" i="2"/>
  <c r="O723" i="2"/>
  <c r="O1651" i="2"/>
  <c r="O912" i="2"/>
  <c r="O849" i="2"/>
  <c r="O1666" i="2"/>
  <c r="O914" i="2"/>
  <c r="O1035" i="2"/>
  <c r="O778" i="2"/>
  <c r="O1036" i="2"/>
  <c r="O1262" i="2"/>
  <c r="O1598" i="2"/>
  <c r="O1758" i="2"/>
  <c r="O795" i="2"/>
  <c r="O1761" i="2"/>
  <c r="O1444" i="2"/>
  <c r="O1419" i="2"/>
  <c r="O1578" i="2"/>
  <c r="O911" i="2"/>
  <c r="O549" i="2"/>
  <c r="O1420" i="2"/>
  <c r="O1159" i="2"/>
  <c r="O775" i="2"/>
  <c r="O1730" i="2"/>
  <c r="O981" i="2"/>
  <c r="O1800" i="2"/>
  <c r="O1427" i="2"/>
  <c r="O1268" i="2"/>
  <c r="O357" i="2"/>
  <c r="O1623" i="2"/>
  <c r="O840" i="2"/>
  <c r="O1681" i="2"/>
  <c r="O544" i="2"/>
  <c r="O653" i="2"/>
  <c r="O592" i="2"/>
  <c r="O850" i="2"/>
  <c r="O1584" i="2"/>
  <c r="O1527" i="2"/>
  <c r="O1246" i="2"/>
  <c r="O584" i="2"/>
  <c r="O451" i="2"/>
  <c r="O1102" i="2"/>
  <c r="O859" i="2"/>
  <c r="O860" i="2"/>
  <c r="O496" i="2"/>
  <c r="O1703" i="2"/>
  <c r="O1155" i="2"/>
  <c r="O1539" i="2"/>
  <c r="O973" i="2"/>
  <c r="O1480" i="2"/>
  <c r="O1256" i="2"/>
  <c r="O1108" i="2"/>
  <c r="O1599" i="2"/>
  <c r="O1196" i="2"/>
  <c r="O1620" i="2"/>
  <c r="O871" i="2"/>
  <c r="O1704" i="2"/>
  <c r="O910" i="2"/>
  <c r="O590" i="2"/>
  <c r="O1610" i="2"/>
  <c r="O367" i="2"/>
  <c r="O828" i="2"/>
  <c r="O1701" i="2"/>
  <c r="O1056" i="2"/>
  <c r="O292" i="2"/>
  <c r="O1374" i="2"/>
  <c r="O732" i="2"/>
  <c r="O807" i="2"/>
  <c r="O1753" i="2"/>
  <c r="O838" i="2"/>
  <c r="O1273" i="2"/>
  <c r="O722" i="2"/>
  <c r="O861" i="2"/>
  <c r="O1157" i="2"/>
  <c r="O1435" i="2"/>
  <c r="O1465" i="2"/>
  <c r="O1361" i="2"/>
  <c r="O1263" i="2"/>
  <c r="O1565" i="2"/>
  <c r="O1173" i="2"/>
  <c r="O1243" i="2"/>
  <c r="O1337" i="2"/>
  <c r="O115" i="2"/>
  <c r="O1776" i="2"/>
  <c r="O980" i="2"/>
  <c r="O1047" i="2"/>
  <c r="O1186" i="2"/>
  <c r="O970" i="2"/>
  <c r="O1526" i="2"/>
  <c r="O1575" i="2"/>
  <c r="O702" i="2"/>
  <c r="O1135" i="2"/>
  <c r="O1536" i="2"/>
  <c r="O257" i="2"/>
  <c r="O1832" i="2"/>
  <c r="O1487" i="2"/>
  <c r="O1450" i="2"/>
  <c r="O938" i="2"/>
  <c r="O551" i="2"/>
  <c r="O531" i="2"/>
  <c r="O960" i="2"/>
  <c r="O1146" i="2"/>
  <c r="O1193" i="2"/>
  <c r="O1319" i="2"/>
  <c r="O1143" i="2"/>
  <c r="O282" i="2"/>
  <c r="O967" i="2"/>
  <c r="O450" i="2"/>
  <c r="O1751" i="2"/>
  <c r="O1153" i="2"/>
  <c r="O563" i="2"/>
  <c r="O1379" i="2"/>
  <c r="O548" i="2"/>
  <c r="O1478" i="2"/>
  <c r="O1254" i="2"/>
  <c r="O1212" i="2"/>
  <c r="O1541" i="2"/>
  <c r="O913" i="2"/>
  <c r="O1582" i="2"/>
  <c r="O1342" i="2"/>
  <c r="O1482" i="2"/>
  <c r="O1258" i="2"/>
  <c r="O1259" i="2"/>
  <c r="O1260" i="2"/>
  <c r="O1161" i="2"/>
  <c r="O1628" i="2"/>
  <c r="O1812" i="2"/>
  <c r="O1232" i="2"/>
  <c r="O1742" i="2"/>
  <c r="O1791" i="2"/>
  <c r="O1692" i="2"/>
  <c r="O1663" i="2"/>
  <c r="O664" i="2"/>
  <c r="O1322" i="2"/>
  <c r="O541" i="2"/>
  <c r="O903" i="2"/>
  <c r="O415" i="2"/>
  <c r="O644" i="2"/>
  <c r="O228" i="2"/>
  <c r="O1249" i="2"/>
  <c r="O1107" i="2"/>
  <c r="O1485" i="2"/>
  <c r="O1643" i="2"/>
  <c r="O1822" i="2"/>
  <c r="O1216" i="2"/>
  <c r="O950" i="2"/>
  <c r="O471" i="2"/>
  <c r="O1424" i="2"/>
  <c r="O483" i="2"/>
  <c r="O712" i="2"/>
  <c r="O1099" i="2"/>
  <c r="O354" i="2"/>
  <c r="O181" i="2"/>
  <c r="O490" i="2"/>
  <c r="O767" i="2"/>
  <c r="O794" i="2"/>
  <c r="O1773" i="2"/>
  <c r="O513" i="2"/>
  <c r="O402" i="2"/>
  <c r="O719" i="2"/>
  <c r="O841" i="2"/>
  <c r="O389" i="2"/>
  <c r="O847" i="2"/>
  <c r="O1274" i="2"/>
  <c r="O1477" i="2"/>
  <c r="O591" i="2"/>
  <c r="O1515" i="2"/>
  <c r="O1032" i="2"/>
  <c r="O852" i="2"/>
  <c r="O1384" i="2"/>
  <c r="O1385" i="2"/>
  <c r="O1507" i="2"/>
  <c r="O1037" i="2"/>
  <c r="O264" i="2"/>
  <c r="O1650" i="2"/>
  <c r="O1167" i="2"/>
  <c r="O907" i="2"/>
  <c r="O1029" i="2"/>
  <c r="O1156" i="2"/>
  <c r="O1339" i="2"/>
  <c r="O779" i="2"/>
  <c r="O897" i="2"/>
  <c r="O1551" i="2"/>
  <c r="O917" i="2"/>
  <c r="O668" i="2"/>
  <c r="O615" i="2"/>
  <c r="O1569" i="2"/>
  <c r="O858" i="2"/>
  <c r="O1388" i="2"/>
  <c r="O1200" i="2"/>
  <c r="O865" i="2"/>
  <c r="O1373" i="2"/>
  <c r="O1586" i="2"/>
  <c r="O1187" i="2"/>
  <c r="O1347" i="2"/>
  <c r="O835" i="2"/>
  <c r="O1206" i="2"/>
  <c r="O1124" i="2"/>
  <c r="O1378" i="2"/>
  <c r="O1306" i="2"/>
  <c r="O1752" i="2"/>
  <c r="O1250" i="2"/>
  <c r="O971" i="2"/>
  <c r="O1716" i="2"/>
  <c r="O1103" i="2"/>
  <c r="O1443" i="2"/>
  <c r="O1210" i="2"/>
  <c r="O1481" i="2"/>
  <c r="O1381" i="2"/>
  <c r="O1034" i="2"/>
  <c r="O1213" i="2"/>
  <c r="O1267" i="2"/>
  <c r="O648" i="2"/>
  <c r="O1031" i="2"/>
  <c r="O1579" i="2"/>
  <c r="O1543" i="2"/>
  <c r="O1484" i="2"/>
  <c r="O1696" i="2"/>
  <c r="O1222" i="2"/>
  <c r="O1714" i="2"/>
  <c r="O497" i="2"/>
  <c r="O1508" i="2"/>
  <c r="O1723" i="2"/>
  <c r="O1734" i="2"/>
  <c r="O989" i="2"/>
  <c r="O1294" i="2"/>
  <c r="O1428" i="2"/>
  <c r="O1799" i="2"/>
  <c r="O1024" i="2"/>
  <c r="O580" i="2"/>
  <c r="O289" i="2"/>
  <c r="O1304" i="2"/>
  <c r="O1394" i="2"/>
  <c r="O1621" i="2"/>
  <c r="O905" i="2"/>
  <c r="O322" i="2"/>
  <c r="O671" i="2"/>
  <c r="O621" i="2"/>
  <c r="O543" i="2"/>
  <c r="O1316" i="2"/>
  <c r="O1027" i="2"/>
  <c r="O771" i="2"/>
  <c r="O673" i="2"/>
  <c r="O1208" i="2"/>
  <c r="O1111" i="2"/>
  <c r="O1537" i="2"/>
  <c r="O843" i="2"/>
  <c r="O545" i="2"/>
  <c r="O848" i="2"/>
  <c r="O655" i="2"/>
  <c r="O1211" i="2"/>
  <c r="O1707" i="2"/>
  <c r="O656" i="2"/>
  <c r="O593" i="2"/>
  <c r="O974" i="2"/>
  <c r="O776" i="2"/>
  <c r="O1426" i="2"/>
  <c r="O1257" i="2"/>
  <c r="O1386" i="2"/>
  <c r="O1585" i="2"/>
  <c r="O1280" i="2"/>
  <c r="O1686" i="2"/>
  <c r="O1236" i="2"/>
  <c r="O1458" i="2"/>
  <c r="O1021" i="2"/>
  <c r="O1003" i="2"/>
  <c r="O855" i="2"/>
  <c r="O538" i="2"/>
  <c r="O931" i="2"/>
  <c r="O1619" i="2"/>
  <c r="O641" i="2"/>
  <c r="O1660" i="2"/>
  <c r="O251" i="2"/>
  <c r="O1150" i="2"/>
  <c r="O1547" i="2"/>
  <c r="O716" i="2"/>
  <c r="O1802" i="2"/>
  <c r="O1100" i="2"/>
  <c r="O493" i="2"/>
  <c r="O831" i="2"/>
  <c r="O475" i="2"/>
  <c r="O1101" i="2"/>
  <c r="O1205" i="2"/>
  <c r="O1375" i="2"/>
  <c r="O1491" i="2"/>
  <c r="O623" i="2"/>
  <c r="O1106" i="2"/>
  <c r="O845" i="2"/>
  <c r="O1253" i="2"/>
  <c r="O1307" i="2"/>
  <c r="O1479" i="2"/>
  <c r="O1255" i="2"/>
  <c r="O862" i="2"/>
  <c r="O1580" i="2"/>
  <c r="O851" i="2"/>
  <c r="O975" i="2"/>
  <c r="O777" i="2"/>
  <c r="O1717" i="2"/>
  <c r="O1383" i="2"/>
  <c r="O1506" i="2"/>
  <c r="O1308" i="2"/>
  <c r="O977" i="2"/>
  <c r="O16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D3AD7691-8B11-FC4E-BBEF-9C5EB2879BB3}">
      <text>
        <r>
          <rPr>
            <sz val="10"/>
            <color rgb="FF000000"/>
            <rFont val="Aptos Narrow"/>
            <scheme val="minor"/>
          </rPr>
          <t>This shows the trendline at this mileage</t>
        </r>
      </text>
    </comment>
  </commentList>
</comments>
</file>

<file path=xl/sharedStrings.xml><?xml version="1.0" encoding="utf-8"?>
<sst xmlns="http://schemas.openxmlformats.org/spreadsheetml/2006/main" count="11" uniqueCount="11">
  <si>
    <t>100% range for this trim level</t>
  </si>
  <si>
    <t>Mileage [mi/km]</t>
  </si>
  <si>
    <t>Trendline</t>
  </si>
  <si>
    <t>Mileage</t>
  </si>
  <si>
    <t>ActualRange</t>
  </si>
  <si>
    <t>OriginalRange</t>
  </si>
  <si>
    <t>RemainingBattery</t>
  </si>
  <si>
    <t>Vehicle_Model</t>
  </si>
  <si>
    <t>Remaining_battery_capacity</t>
  </si>
  <si>
    <t>Mileage_mile</t>
  </si>
  <si>
    <t>Mileage_km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</si>
</sst>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All entries-style" pivot="0" count="2" xr9:uid="{AD1BA949-FA8E-ED47-82FF-5087124B37EB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0A64-8774-3E43-A640-E2DBACD74606}">
  <dimension ref="A1:O1853"/>
  <sheetViews>
    <sheetView tabSelected="1" topLeftCell="C476" zoomScaleNormal="100" workbookViewId="0">
      <selection activeCell="L4" sqref="L4:M4"/>
    </sheetView>
  </sheetViews>
  <sheetFormatPr baseColWidth="10" defaultRowHeight="16" x14ac:dyDescent="0.2"/>
  <cols>
    <col min="2" max="2" width="17" bestFit="1" customWidth="1"/>
    <col min="3" max="3" width="37.5" bestFit="1" customWidth="1"/>
    <col min="4" max="4" width="22.1640625" bestFit="1" customWidth="1"/>
    <col min="5" max="5" width="19.1640625" bestFit="1" customWidth="1"/>
    <col min="6" max="6" width="27" bestFit="1" customWidth="1"/>
    <col min="7" max="7" width="26" bestFit="1" customWidth="1"/>
    <col min="8" max="8" width="13.33203125" bestFit="1" customWidth="1"/>
    <col min="9" max="9" width="13.6640625" bestFit="1" customWidth="1"/>
    <col min="10" max="10" width="16.33203125" bestFit="1" customWidth="1"/>
    <col min="11" max="11" width="12.1640625" bestFit="1" customWidth="1"/>
    <col min="12" max="12" width="11.6640625" bestFit="1" customWidth="1"/>
    <col min="13" max="13" width="12.83203125" bestFit="1" customWidth="1"/>
    <col min="14" max="14" width="13.33203125" bestFit="1" customWidth="1"/>
    <col min="15" max="15" width="15.6640625" bestFit="1" customWidth="1"/>
  </cols>
  <sheetData>
    <row r="1" spans="1:15" x14ac:dyDescent="0.2">
      <c r="A1" t="str">
        <f ca="1">IFERROR(__xludf.DUMMYFUNCTION("""COMPUTED_VALUE"""),"Range unit")</f>
        <v>Range unit</v>
      </c>
      <c r="B1" t="s">
        <v>7</v>
      </c>
      <c r="C1" t="str">
        <f ca="1">IFERROR(__xludf.DUMMYFUNCTION("""COMPUTED_VALUE"""),"Range at 100% when car was new? [mi or km]")</f>
        <v>Range at 100% when car was new? [mi or km]</v>
      </c>
      <c r="D1" t="str">
        <f ca="1">IFERROR(__xludf.DUMMYFUNCTION("""COMPUTED_VALUE"""),"Your mileage [mi or km]")</f>
        <v>Your mileage [mi or km]</v>
      </c>
      <c r="E1" t="str">
        <f ca="1">IFERROR(__xludf.DUMMYFUNCTION("""COMPUTED_VALUE"""),"Your range at 100%")</f>
        <v>Your range at 100%</v>
      </c>
      <c r="F1" t="s">
        <v>0</v>
      </c>
      <c r="G1" t="s">
        <v>8</v>
      </c>
      <c r="H1" t="s">
        <v>9</v>
      </c>
      <c r="I1" t="s">
        <v>10</v>
      </c>
      <c r="J1" t="s">
        <v>1</v>
      </c>
      <c r="K1" t="s">
        <v>2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tr">
        <f ca="1">IFERROR(__xludf.DUMMYFUNCTION("""COMPUTED_VALUE"""),"mi")</f>
        <v>mi</v>
      </c>
      <c r="B2" t="str">
        <f ca="1">IFERROR(__xludf.DUMMYFUNCTION("""COMPUTED_VALUE"""),"Model 3 P")</f>
        <v>Model 3 P</v>
      </c>
      <c r="C2">
        <f ca="1">IFERROR(__xludf.DUMMYFUNCTION("""COMPUTED_VALUE"""),300)</f>
        <v>300</v>
      </c>
      <c r="D2">
        <f ca="1">IFERROR(__xludf.DUMMYFUNCTION("""COMPUTED_VALUE"""),55091)</f>
        <v>55091</v>
      </c>
      <c r="E2">
        <f ca="1">IFERROR(__xludf.DUMMYFUNCTION("""COMPUTED_VALUE"""),285)</f>
        <v>285</v>
      </c>
      <c r="F2">
        <v>499</v>
      </c>
      <c r="G2">
        <v>0.57114228456913829</v>
      </c>
      <c r="H2">
        <v>55091</v>
      </c>
      <c r="I2">
        <v>88660</v>
      </c>
      <c r="J2">
        <v>55091</v>
      </c>
      <c r="K2">
        <v>0.94651662869177666</v>
      </c>
      <c r="L2">
        <f ca="1">IFERROR(__xludf.DUMMYFUNCTION("""COMPUTED_VALUE"""),285)</f>
        <v>285</v>
      </c>
      <c r="M2">
        <v>315</v>
      </c>
      <c r="N2">
        <v>55091</v>
      </c>
      <c r="O2">
        <f t="shared" ref="O2:O65" ca="1" si="0">L2/M2</f>
        <v>0.90476190476190477</v>
      </c>
    </row>
    <row r="3" spans="1:15" x14ac:dyDescent="0.2">
      <c r="A3" t="str">
        <f ca="1">IFERROR(__xludf.DUMMYFUNCTION("""COMPUTED_VALUE"""),"km")</f>
        <v>km</v>
      </c>
      <c r="B3" t="str">
        <f ca="1">IFERROR(__xludf.DUMMYFUNCTION("""COMPUTED_VALUE"""),"Model 3 LR AWD")</f>
        <v>Model 3 LR AWD</v>
      </c>
      <c r="D3">
        <f ca="1">IFERROR(__xludf.DUMMYFUNCTION("""COMPUTED_VALUE"""),28800)</f>
        <v>28800</v>
      </c>
      <c r="E3">
        <f ca="1">IFERROR(__xludf.DUMMYFUNCTION("""COMPUTED_VALUE"""),330)</f>
        <v>330</v>
      </c>
      <c r="F3">
        <v>499</v>
      </c>
      <c r="G3">
        <v>0.66132264529058116</v>
      </c>
      <c r="H3">
        <v>17895</v>
      </c>
      <c r="I3">
        <v>28800</v>
      </c>
      <c r="J3">
        <v>17895</v>
      </c>
      <c r="K3">
        <v>0.9810136370992838</v>
      </c>
      <c r="L3">
        <f ca="1">E3*0.621371</f>
        <v>205.05243000000002</v>
      </c>
      <c r="M3">
        <f>F3*0.621371</f>
        <v>310.06412899999998</v>
      </c>
      <c r="N3">
        <v>17895</v>
      </c>
      <c r="O3">
        <f t="shared" ca="1" si="0"/>
        <v>0.66132264529058127</v>
      </c>
    </row>
    <row r="4" spans="1:15" x14ac:dyDescent="0.2">
      <c r="A4" t="str">
        <f ca="1">IFERROR(__xludf.DUMMYFUNCTION("""COMPUTED_VALUE"""),"mi")</f>
        <v>mi</v>
      </c>
      <c r="B4" t="str">
        <f ca="1">IFERROR(__xludf.DUMMYFUNCTION("""COMPUTED_VALUE"""),"Model 3 LR")</f>
        <v>Model 3 LR</v>
      </c>
      <c r="C4">
        <f ca="1">IFERROR(__xludf.DUMMYFUNCTION("""COMPUTED_VALUE"""),325)</f>
        <v>325</v>
      </c>
      <c r="D4">
        <f ca="1">IFERROR(__xludf.DUMMYFUNCTION("""COMPUTED_VALUE"""),21213)</f>
        <v>21213</v>
      </c>
      <c r="E4">
        <f ca="1">IFERROR(__xludf.DUMMYFUNCTION("""COMPUTED_VALUE"""),219)</f>
        <v>219</v>
      </c>
      <c r="F4">
        <v>325</v>
      </c>
      <c r="G4">
        <v>0.67384615384615387</v>
      </c>
      <c r="H4">
        <v>21213</v>
      </c>
      <c r="I4">
        <v>34139</v>
      </c>
      <c r="J4">
        <v>21213</v>
      </c>
      <c r="K4">
        <v>0.97766093224622475</v>
      </c>
      <c r="L4">
        <f ca="1">IFERROR(__xludf.DUMMYFUNCTION("""COMPUTED_VALUE"""),219)</f>
        <v>219</v>
      </c>
      <c r="M4">
        <v>310</v>
      </c>
      <c r="N4">
        <v>21213</v>
      </c>
      <c r="O4">
        <f t="shared" ca="1" si="0"/>
        <v>0.70645161290322578</v>
      </c>
    </row>
    <row r="5" spans="1:15" x14ac:dyDescent="0.2">
      <c r="A5" t="str">
        <f ca="1">IFERROR(__xludf.DUMMYFUNCTION("""COMPUTED_VALUE"""),"mi")</f>
        <v>mi</v>
      </c>
      <c r="B5" t="str">
        <f ca="1">IFERROR(__xludf.DUMMYFUNCTION("""COMPUTED_VALUE"""),"Model 3 SR+")</f>
        <v>Model 3 SR+</v>
      </c>
      <c r="C5">
        <f ca="1">IFERROR(__xludf.DUMMYFUNCTION("""COMPUTED_VALUE"""),264)</f>
        <v>264</v>
      </c>
      <c r="D5">
        <f ca="1">IFERROR(__xludf.DUMMYFUNCTION("""COMPUTED_VALUE"""),8000)</f>
        <v>8000</v>
      </c>
      <c r="E5">
        <f ca="1">IFERROR(__xludf.DUMMYFUNCTION("""COMPUTED_VALUE"""),258.5)</f>
        <v>258.5</v>
      </c>
      <c r="F5">
        <v>381</v>
      </c>
      <c r="G5">
        <v>0.67847769028871396</v>
      </c>
      <c r="H5">
        <v>8000</v>
      </c>
      <c r="I5">
        <v>12875</v>
      </c>
      <c r="J5">
        <v>8000</v>
      </c>
      <c r="K5">
        <v>0.99132579510081786</v>
      </c>
      <c r="L5">
        <f ca="1">IFERROR(__xludf.DUMMYFUNCTION("""COMPUTED_VALUE"""),258.5)</f>
        <v>258.5</v>
      </c>
      <c r="M5">
        <v>296</v>
      </c>
      <c r="N5">
        <v>8000</v>
      </c>
      <c r="O5">
        <f t="shared" ca="1" si="0"/>
        <v>0.87331081081081086</v>
      </c>
    </row>
    <row r="6" spans="1:15" x14ac:dyDescent="0.2">
      <c r="A6" t="str">
        <f ca="1">IFERROR(__xludf.DUMMYFUNCTION("""COMPUTED_VALUE"""),"mi")</f>
        <v>mi</v>
      </c>
      <c r="B6" t="str">
        <f ca="1">IFERROR(__xludf.DUMMYFUNCTION("""COMPUTED_VALUE"""),"Model 3 SR+")</f>
        <v>Model 3 SR+</v>
      </c>
      <c r="C6">
        <f ca="1">IFERROR(__xludf.DUMMYFUNCTION("""COMPUTED_VALUE"""),264)</f>
        <v>264</v>
      </c>
      <c r="D6">
        <f ca="1">IFERROR(__xludf.DUMMYFUNCTION("""COMPUTED_VALUE"""),95)</f>
        <v>95</v>
      </c>
      <c r="E6">
        <f ca="1">IFERROR(__xludf.DUMMYFUNCTION("""COMPUTED_VALUE"""),263.5)</f>
        <v>263.5</v>
      </c>
      <c r="F6">
        <v>381</v>
      </c>
      <c r="G6">
        <v>0.69160104986876636</v>
      </c>
      <c r="H6">
        <v>95</v>
      </c>
      <c r="I6">
        <v>153</v>
      </c>
      <c r="J6">
        <v>95</v>
      </c>
      <c r="K6">
        <v>0.99989516988377369</v>
      </c>
      <c r="L6">
        <f ca="1">IFERROR(__xludf.DUMMYFUNCTION("""COMPUTED_VALUE"""),263.5)</f>
        <v>263.5</v>
      </c>
      <c r="M6">
        <v>296</v>
      </c>
      <c r="N6">
        <v>95</v>
      </c>
      <c r="O6">
        <f t="shared" ca="1" si="0"/>
        <v>0.89020270270270274</v>
      </c>
    </row>
    <row r="7" spans="1:15" x14ac:dyDescent="0.2">
      <c r="A7" t="str">
        <f ca="1">IFERROR(__xludf.DUMMYFUNCTION("""COMPUTED_VALUE"""),"km")</f>
        <v>km</v>
      </c>
      <c r="B7" t="str">
        <f ca="1">IFERROR(__xludf.DUMMYFUNCTION("""COMPUTED_VALUE"""),"Model S 90")</f>
        <v>Model S 90</v>
      </c>
      <c r="C7">
        <f ca="1">IFERROR(__xludf.DUMMYFUNCTION("""COMPUTED_VALUE"""),420)</f>
        <v>420</v>
      </c>
      <c r="D7">
        <f ca="1">IFERROR(__xludf.DUMMYFUNCTION("""COMPUTED_VALUE"""),400)</f>
        <v>400</v>
      </c>
      <c r="E7">
        <f ca="1">IFERROR(__xludf.DUMMYFUNCTION("""COMPUTED_VALUE"""),300)</f>
        <v>300</v>
      </c>
      <c r="F7">
        <v>420</v>
      </c>
      <c r="G7">
        <v>0.7142857142857143</v>
      </c>
      <c r="H7">
        <v>249</v>
      </c>
      <c r="I7">
        <v>400</v>
      </c>
      <c r="J7">
        <v>249</v>
      </c>
      <c r="K7">
        <v>0.99972602275776756</v>
      </c>
      <c r="L7">
        <f ca="1">E7*0.621371</f>
        <v>186.41130000000001</v>
      </c>
      <c r="M7">
        <v>249</v>
      </c>
      <c r="N7">
        <v>249</v>
      </c>
      <c r="O7">
        <f t="shared" ca="1" si="0"/>
        <v>0.74863975903614466</v>
      </c>
    </row>
    <row r="8" spans="1:15" x14ac:dyDescent="0.2">
      <c r="A8" t="str">
        <f ca="1">IFERROR(__xludf.DUMMYFUNCTION("""COMPUTED_VALUE"""),"km")</f>
        <v>km</v>
      </c>
      <c r="B8" t="str">
        <f ca="1">IFERROR(__xludf.DUMMYFUNCTION("""COMPUTED_VALUE"""),"Model S P85")</f>
        <v>Model S P85</v>
      </c>
      <c r="D8">
        <f ca="1">IFERROR(__xludf.DUMMYFUNCTION("""COMPUTED_VALUE"""),448245)</f>
        <v>448245</v>
      </c>
      <c r="E8">
        <f ca="1">IFERROR(__xludf.DUMMYFUNCTION("""COMPUTED_VALUE"""),290)</f>
        <v>290</v>
      </c>
      <c r="F8">
        <v>395</v>
      </c>
      <c r="G8">
        <v>0.73417721518987344</v>
      </c>
      <c r="H8">
        <v>278527</v>
      </c>
      <c r="I8">
        <v>448245</v>
      </c>
      <c r="J8">
        <v>278527</v>
      </c>
      <c r="K8">
        <v>0.90740418690498448</v>
      </c>
      <c r="L8">
        <f ca="1">E8*0.621371</f>
        <v>180.19758999999999</v>
      </c>
      <c r="M8">
        <f>F8*0.621371</f>
        <v>245.44154499999999</v>
      </c>
      <c r="N8">
        <v>278527</v>
      </c>
      <c r="O8">
        <f t="shared" ca="1" si="0"/>
        <v>0.73417721518987344</v>
      </c>
    </row>
    <row r="9" spans="1:15" x14ac:dyDescent="0.2">
      <c r="A9" t="str">
        <f ca="1">IFERROR(__xludf.DUMMYFUNCTION("""COMPUTED_VALUE"""),"km")</f>
        <v>km</v>
      </c>
      <c r="B9" t="str">
        <f ca="1">IFERROR(__xludf.DUMMYFUNCTION("""COMPUTED_VALUE"""),"Model S P85")</f>
        <v>Model S P85</v>
      </c>
      <c r="D9">
        <f ca="1">IFERROR(__xludf.DUMMYFUNCTION("""COMPUTED_VALUE"""),439131)</f>
        <v>439131</v>
      </c>
      <c r="E9">
        <f ca="1">IFERROR(__xludf.DUMMYFUNCTION("""COMPUTED_VALUE"""),292)</f>
        <v>292</v>
      </c>
      <c r="F9">
        <v>395</v>
      </c>
      <c r="G9">
        <v>0.73924050632911398</v>
      </c>
      <c r="H9">
        <v>272863</v>
      </c>
      <c r="I9">
        <v>439131</v>
      </c>
      <c r="J9">
        <v>272863</v>
      </c>
      <c r="K9">
        <v>0.90424205014305259</v>
      </c>
      <c r="L9">
        <f ca="1">E9*0.621371</f>
        <v>181.44033200000001</v>
      </c>
      <c r="M9">
        <f>F9*0.621371</f>
        <v>245.44154499999999</v>
      </c>
      <c r="N9">
        <v>272863</v>
      </c>
      <c r="O9">
        <f t="shared" ca="1" si="0"/>
        <v>0.73924050632911398</v>
      </c>
    </row>
    <row r="10" spans="1:15" x14ac:dyDescent="0.2">
      <c r="A10" t="str">
        <f ca="1">IFERROR(__xludf.DUMMYFUNCTION("""COMPUTED_VALUE"""),"mi")</f>
        <v>mi</v>
      </c>
      <c r="B10" t="str">
        <f ca="1">IFERROR(__xludf.DUMMYFUNCTION("""COMPUTED_VALUE"""),"Model S P85")</f>
        <v>Model S P85</v>
      </c>
      <c r="C10">
        <f ca="1">IFERROR(__xludf.DUMMYFUNCTION("""COMPUTED_VALUE"""),260)</f>
        <v>260</v>
      </c>
      <c r="D10">
        <f ca="1">IFERROR(__xludf.DUMMYFUNCTION("""COMPUTED_VALUE"""),123473)</f>
        <v>123473</v>
      </c>
      <c r="E10">
        <f ca="1">IFERROR(__xludf.DUMMYFUNCTION("""COMPUTED_VALUE"""),208)</f>
        <v>208</v>
      </c>
      <c r="F10">
        <v>266</v>
      </c>
      <c r="G10">
        <v>0.78195488721804507</v>
      </c>
      <c r="H10">
        <v>123473</v>
      </c>
      <c r="I10">
        <v>198711</v>
      </c>
      <c r="J10">
        <v>123473</v>
      </c>
      <c r="K10">
        <v>0.90196758900862051</v>
      </c>
      <c r="L10">
        <f ca="1">IFERROR(__xludf.DUMMYFUNCTION("""COMPUTED_VALUE"""),208)</f>
        <v>208</v>
      </c>
      <c r="M10">
        <v>266</v>
      </c>
      <c r="N10">
        <v>123473</v>
      </c>
      <c r="O10">
        <f t="shared" ca="1" si="0"/>
        <v>0.78195488721804507</v>
      </c>
    </row>
    <row r="11" spans="1:15" x14ac:dyDescent="0.2">
      <c r="A11" t="str">
        <f ca="1">IFERROR(__xludf.DUMMYFUNCTION("""COMPUTED_VALUE"""),"mi")</f>
        <v>mi</v>
      </c>
      <c r="B11" t="str">
        <f ca="1">IFERROR(__xludf.DUMMYFUNCTION("""COMPUTED_VALUE"""),"Model S P85")</f>
        <v>Model S P85</v>
      </c>
      <c r="C11">
        <f ca="1">IFERROR(__xludf.DUMMYFUNCTION("""COMPUTED_VALUE"""),265)</f>
        <v>265</v>
      </c>
      <c r="D11">
        <f ca="1">IFERROR(__xludf.DUMMYFUNCTION("""COMPUTED_VALUE"""),130000)</f>
        <v>130000</v>
      </c>
      <c r="E11">
        <f ca="1">IFERROR(__xludf.DUMMYFUNCTION("""COMPUTED_VALUE"""),208)</f>
        <v>208</v>
      </c>
      <c r="F11">
        <v>266</v>
      </c>
      <c r="G11">
        <v>0.78195488721804507</v>
      </c>
      <c r="H11">
        <v>130000</v>
      </c>
      <c r="I11">
        <v>209215</v>
      </c>
      <c r="J11">
        <v>130000</v>
      </c>
      <c r="K11">
        <v>0.89908348705748875</v>
      </c>
      <c r="L11">
        <f ca="1">IFERROR(__xludf.DUMMYFUNCTION("""COMPUTED_VALUE"""),208)</f>
        <v>208</v>
      </c>
      <c r="M11">
        <v>266</v>
      </c>
      <c r="N11">
        <v>130000</v>
      </c>
      <c r="O11">
        <f t="shared" ca="1" si="0"/>
        <v>0.78195488721804507</v>
      </c>
    </row>
    <row r="12" spans="1:15" x14ac:dyDescent="0.2">
      <c r="A12" t="str">
        <f ca="1">IFERROR(__xludf.DUMMYFUNCTION("""COMPUTED_VALUE"""),"km")</f>
        <v>km</v>
      </c>
      <c r="B12" t="str">
        <f ca="1">IFERROR(__xludf.DUMMYFUNCTION("""COMPUTED_VALUE"""),"Model S 85")</f>
        <v>Model S 85</v>
      </c>
      <c r="C12">
        <f ca="1">IFERROR(__xludf.DUMMYFUNCTION("""COMPUTED_VALUE"""),425)</f>
        <v>425</v>
      </c>
      <c r="D12">
        <f ca="1">IFERROR(__xludf.DUMMYFUNCTION("""COMPUTED_VALUE"""),321931)</f>
        <v>321931</v>
      </c>
      <c r="E12">
        <f ca="1">IFERROR(__xludf.DUMMYFUNCTION("""COMPUTED_VALUE"""),340)</f>
        <v>340</v>
      </c>
      <c r="F12">
        <v>428</v>
      </c>
      <c r="G12">
        <v>0.79439252336448596</v>
      </c>
      <c r="H12">
        <v>200039</v>
      </c>
      <c r="I12">
        <v>321931</v>
      </c>
      <c r="J12">
        <v>200039</v>
      </c>
      <c r="K12">
        <v>0.88452377098963408</v>
      </c>
      <c r="L12">
        <f ca="1">E12*0.621371</f>
        <v>211.26614000000001</v>
      </c>
      <c r="M12">
        <f>F12*0.621371</f>
        <v>265.94678800000003</v>
      </c>
      <c r="N12">
        <v>200039</v>
      </c>
      <c r="O12">
        <f t="shared" ca="1" si="0"/>
        <v>0.79439252336448596</v>
      </c>
    </row>
    <row r="13" spans="1:15" x14ac:dyDescent="0.2">
      <c r="A13" t="str">
        <f ca="1">IFERROR(__xludf.DUMMYFUNCTION("""COMPUTED_VALUE"""),"mi")</f>
        <v>mi</v>
      </c>
      <c r="B13" t="str">
        <f ca="1">IFERROR(__xludf.DUMMYFUNCTION("""COMPUTED_VALUE"""),"Model S 60")</f>
        <v>Model S 60</v>
      </c>
      <c r="C13">
        <f ca="1">IFERROR(__xludf.DUMMYFUNCTION("""COMPUTED_VALUE"""),208)</f>
        <v>208</v>
      </c>
      <c r="D13">
        <f ca="1">IFERROR(__xludf.DUMMYFUNCTION("""COMPUTED_VALUE"""),76721)</f>
        <v>76721</v>
      </c>
      <c r="E13">
        <f ca="1">IFERROR(__xludf.DUMMYFUNCTION("""COMPUTED_VALUE"""),167)</f>
        <v>167</v>
      </c>
      <c r="F13">
        <v>207</v>
      </c>
      <c r="G13">
        <v>0.80676328502415462</v>
      </c>
      <c r="H13">
        <v>76721</v>
      </c>
      <c r="I13">
        <v>123470</v>
      </c>
      <c r="J13">
        <v>76721</v>
      </c>
      <c r="K13">
        <v>0.92968675076710761</v>
      </c>
      <c r="L13">
        <f ca="1">IFERROR(__xludf.DUMMYFUNCTION("""COMPUTED_VALUE"""),167)</f>
        <v>167</v>
      </c>
      <c r="M13">
        <v>207</v>
      </c>
      <c r="N13">
        <v>76721</v>
      </c>
      <c r="O13">
        <f t="shared" ca="1" si="0"/>
        <v>0.80676328502415462</v>
      </c>
    </row>
    <row r="14" spans="1:15" x14ac:dyDescent="0.2">
      <c r="A14" t="str">
        <f ca="1">IFERROR(__xludf.DUMMYFUNCTION("""COMPUTED_VALUE"""),"mi")</f>
        <v>mi</v>
      </c>
      <c r="B14" t="str">
        <f ca="1">IFERROR(__xludf.DUMMYFUNCTION("""COMPUTED_VALUE"""),"Model S 85")</f>
        <v>Model S 85</v>
      </c>
      <c r="C14">
        <f ca="1">IFERROR(__xludf.DUMMYFUNCTION("""COMPUTED_VALUE"""),265)</f>
        <v>265</v>
      </c>
      <c r="D14">
        <f ca="1">IFERROR(__xludf.DUMMYFUNCTION("""COMPUTED_VALUE"""),132872)</f>
        <v>132872</v>
      </c>
      <c r="E14">
        <f ca="1">IFERROR(__xludf.DUMMYFUNCTION("""COMPUTED_VALUE"""),217.88)</f>
        <v>217.88</v>
      </c>
      <c r="F14">
        <v>266</v>
      </c>
      <c r="G14">
        <v>0.81909774436090221</v>
      </c>
      <c r="H14">
        <v>132872</v>
      </c>
      <c r="I14">
        <v>213837</v>
      </c>
      <c r="J14">
        <v>132872</v>
      </c>
      <c r="K14">
        <v>0.89789356712951951</v>
      </c>
      <c r="L14">
        <f ca="1">IFERROR(__xludf.DUMMYFUNCTION("""COMPUTED_VALUE"""),217.88)</f>
        <v>217.88</v>
      </c>
      <c r="M14">
        <v>266</v>
      </c>
      <c r="N14">
        <v>132872</v>
      </c>
      <c r="O14">
        <f t="shared" ca="1" si="0"/>
        <v>0.81909774436090221</v>
      </c>
    </row>
    <row r="15" spans="1:15" x14ac:dyDescent="0.2">
      <c r="A15" t="str">
        <f ca="1">IFERROR(__xludf.DUMMYFUNCTION("""COMPUTED_VALUE"""),"km")</f>
        <v>km</v>
      </c>
      <c r="B15" t="str">
        <f ca="1">IFERROR(__xludf.DUMMYFUNCTION("""COMPUTED_VALUE"""),"Model S P100D")</f>
        <v>Model S P100D</v>
      </c>
      <c r="D15">
        <f ca="1">IFERROR(__xludf.DUMMYFUNCTION("""COMPUTED_VALUE"""),153200)</f>
        <v>153200</v>
      </c>
      <c r="E15">
        <f ca="1">IFERROR(__xludf.DUMMYFUNCTION("""COMPUTED_VALUE"""),397)</f>
        <v>397</v>
      </c>
      <c r="F15">
        <v>483</v>
      </c>
      <c r="G15">
        <v>0.82194616977225676</v>
      </c>
      <c r="H15">
        <v>95194</v>
      </c>
      <c r="I15">
        <v>153200</v>
      </c>
      <c r="J15">
        <v>95194</v>
      </c>
      <c r="K15">
        <v>0.91728456969968508</v>
      </c>
      <c r="L15">
        <f ca="1">E15*0.621371</f>
        <v>246.68428700000001</v>
      </c>
      <c r="M15">
        <f>F15*0.621371</f>
        <v>300.12219299999998</v>
      </c>
      <c r="N15">
        <v>95194</v>
      </c>
      <c r="O15">
        <f t="shared" ca="1" si="0"/>
        <v>0.82194616977225687</v>
      </c>
    </row>
    <row r="16" spans="1:15" x14ac:dyDescent="0.2">
      <c r="A16" t="str">
        <f ca="1">IFERROR(__xludf.DUMMYFUNCTION("""COMPUTED_VALUE"""),"mi")</f>
        <v>mi</v>
      </c>
      <c r="B16" t="str">
        <f ca="1">IFERROR(__xludf.DUMMYFUNCTION("""COMPUTED_VALUE"""),"Model S P85+")</f>
        <v>Model S P85+</v>
      </c>
      <c r="C16">
        <f ca="1">IFERROR(__xludf.DUMMYFUNCTION("""COMPUTED_VALUE"""),250)</f>
        <v>250</v>
      </c>
      <c r="D16">
        <f ca="1">IFERROR(__xludf.DUMMYFUNCTION("""COMPUTED_VALUE"""),116000)</f>
        <v>116000</v>
      </c>
      <c r="E16">
        <f ca="1">IFERROR(__xludf.DUMMYFUNCTION("""COMPUTED_VALUE"""),220)</f>
        <v>220</v>
      </c>
      <c r="F16">
        <v>266</v>
      </c>
      <c r="G16">
        <v>0.82706766917293228</v>
      </c>
      <c r="H16">
        <v>116000</v>
      </c>
      <c r="I16">
        <v>186684</v>
      </c>
      <c r="J16">
        <v>116000</v>
      </c>
      <c r="K16">
        <v>0.90557351817032417</v>
      </c>
      <c r="L16">
        <f ca="1">IFERROR(__xludf.DUMMYFUNCTION("""COMPUTED_VALUE"""),220)</f>
        <v>220</v>
      </c>
      <c r="M16">
        <v>266</v>
      </c>
      <c r="N16">
        <v>116000</v>
      </c>
      <c r="O16">
        <f t="shared" ca="1" si="0"/>
        <v>0.82706766917293228</v>
      </c>
    </row>
    <row r="17" spans="1:15" x14ac:dyDescent="0.2">
      <c r="A17" t="str">
        <f ca="1">IFERROR(__xludf.DUMMYFUNCTION("""COMPUTED_VALUE"""),"km")</f>
        <v>km</v>
      </c>
      <c r="B17" t="str">
        <f ca="1">IFERROR(__xludf.DUMMYFUNCTION("""COMPUTED_VALUE"""),"Model S P100D")</f>
        <v>Model S P100D</v>
      </c>
      <c r="D17">
        <f ca="1">IFERROR(__xludf.DUMMYFUNCTION("""COMPUTED_VALUE"""),148400)</f>
        <v>148400</v>
      </c>
      <c r="E17">
        <f ca="1">IFERROR(__xludf.DUMMYFUNCTION("""COMPUTED_VALUE"""),401)</f>
        <v>401</v>
      </c>
      <c r="F17">
        <v>483</v>
      </c>
      <c r="G17">
        <v>0.83022774327122151</v>
      </c>
      <c r="H17">
        <v>92211</v>
      </c>
      <c r="I17">
        <v>148400</v>
      </c>
      <c r="J17">
        <v>92211</v>
      </c>
      <c r="K17">
        <v>0.91916117890596327</v>
      </c>
      <c r="L17">
        <f ca="1">E17*0.621371</f>
        <v>249.169771</v>
      </c>
      <c r="M17">
        <f>F17*0.621371</f>
        <v>300.12219299999998</v>
      </c>
      <c r="N17">
        <v>92211</v>
      </c>
      <c r="O17">
        <f t="shared" ca="1" si="0"/>
        <v>0.83022774327122162</v>
      </c>
    </row>
    <row r="18" spans="1:15" x14ac:dyDescent="0.2">
      <c r="A18" t="str">
        <f ca="1">IFERROR(__xludf.DUMMYFUNCTION("""COMPUTED_VALUE"""),"mi")</f>
        <v>mi</v>
      </c>
      <c r="B18" t="str">
        <f ca="1">IFERROR(__xludf.DUMMYFUNCTION("""COMPUTED_VALUE"""),"Model S P85")</f>
        <v>Model S P85</v>
      </c>
      <c r="C18">
        <f ca="1">IFERROR(__xludf.DUMMYFUNCTION("""COMPUTED_VALUE"""),265)</f>
        <v>265</v>
      </c>
      <c r="D18">
        <f ca="1">IFERROR(__xludf.DUMMYFUNCTION("""COMPUTED_VALUE"""),98534)</f>
        <v>98534</v>
      </c>
      <c r="E18">
        <f ca="1">IFERROR(__xludf.DUMMYFUNCTION("""COMPUTED_VALUE"""),221)</f>
        <v>221</v>
      </c>
      <c r="F18">
        <v>266</v>
      </c>
      <c r="G18">
        <v>0.83082706766917291</v>
      </c>
      <c r="H18">
        <v>98534</v>
      </c>
      <c r="I18">
        <v>158575</v>
      </c>
      <c r="J18">
        <v>98534</v>
      </c>
      <c r="K18">
        <v>0.91524140282573518</v>
      </c>
      <c r="L18">
        <f ca="1">IFERROR(__xludf.DUMMYFUNCTION("""COMPUTED_VALUE"""),221)</f>
        <v>221</v>
      </c>
      <c r="M18">
        <v>266</v>
      </c>
      <c r="N18">
        <v>98534</v>
      </c>
      <c r="O18">
        <f t="shared" ca="1" si="0"/>
        <v>0.83082706766917291</v>
      </c>
    </row>
    <row r="19" spans="1:15" x14ac:dyDescent="0.2">
      <c r="A19" t="str">
        <f ca="1">IFERROR(__xludf.DUMMYFUNCTION("""COMPUTED_VALUE"""),"mi")</f>
        <v>mi</v>
      </c>
      <c r="B19" t="str">
        <f ca="1">IFERROR(__xludf.DUMMYFUNCTION("""COMPUTED_VALUE"""),"Model 3 LR")</f>
        <v>Model 3 LR</v>
      </c>
      <c r="C19">
        <f ca="1">IFERROR(__xludf.DUMMYFUNCTION("""COMPUTED_VALUE"""),312)</f>
        <v>312</v>
      </c>
      <c r="D19">
        <f ca="1">IFERROR(__xludf.DUMMYFUNCTION("""COMPUTED_VALUE"""),22304)</f>
        <v>22304</v>
      </c>
      <c r="E19">
        <f ca="1">IFERROR(__xludf.DUMMYFUNCTION("""COMPUTED_VALUE"""),271)</f>
        <v>271</v>
      </c>
      <c r="F19">
        <v>325</v>
      </c>
      <c r="G19">
        <v>0.83384615384615379</v>
      </c>
      <c r="H19">
        <v>22304</v>
      </c>
      <c r="I19">
        <v>35895</v>
      </c>
      <c r="J19">
        <v>22304</v>
      </c>
      <c r="K19">
        <v>0.9765697983635766</v>
      </c>
      <c r="L19">
        <f ca="1">IFERROR(__xludf.DUMMYFUNCTION("""COMPUTED_VALUE"""),271)</f>
        <v>271</v>
      </c>
      <c r="M19">
        <v>325</v>
      </c>
      <c r="N19">
        <v>22304</v>
      </c>
      <c r="O19">
        <f t="shared" ca="1" si="0"/>
        <v>0.83384615384615379</v>
      </c>
    </row>
    <row r="20" spans="1:15" x14ac:dyDescent="0.2">
      <c r="A20" t="str">
        <f ca="1">IFERROR(__xludf.DUMMYFUNCTION("""COMPUTED_VALUE"""),"mi")</f>
        <v>mi</v>
      </c>
      <c r="B20" t="str">
        <f ca="1">IFERROR(__xludf.DUMMYFUNCTION("""COMPUTED_VALUE"""),"Model S 85")</f>
        <v>Model S 85</v>
      </c>
      <c r="C20">
        <f ca="1">IFERROR(__xludf.DUMMYFUNCTION("""COMPUTED_VALUE"""),265)</f>
        <v>265</v>
      </c>
      <c r="D20">
        <f ca="1">IFERROR(__xludf.DUMMYFUNCTION("""COMPUTED_VALUE"""),213450)</f>
        <v>213450</v>
      </c>
      <c r="E20">
        <f ca="1">IFERROR(__xludf.DUMMYFUNCTION("""COMPUTED_VALUE"""),222)</f>
        <v>222</v>
      </c>
      <c r="F20">
        <v>266</v>
      </c>
      <c r="G20">
        <v>0.83458646616541354</v>
      </c>
      <c r="H20">
        <v>213450</v>
      </c>
      <c r="I20">
        <v>343514</v>
      </c>
      <c r="J20">
        <v>213450</v>
      </c>
      <c r="K20">
        <v>0.88534903854631719</v>
      </c>
      <c r="L20">
        <f ca="1">IFERROR(__xludf.DUMMYFUNCTION("""COMPUTED_VALUE"""),222)</f>
        <v>222</v>
      </c>
      <c r="M20">
        <v>266</v>
      </c>
      <c r="N20">
        <v>213450</v>
      </c>
      <c r="O20">
        <f t="shared" ca="1" si="0"/>
        <v>0.83458646616541354</v>
      </c>
    </row>
    <row r="21" spans="1:15" x14ac:dyDescent="0.2">
      <c r="A21" t="str">
        <f ca="1">IFERROR(__xludf.DUMMYFUNCTION("""COMPUTED_VALUE"""),"km")</f>
        <v>km</v>
      </c>
      <c r="B21" t="str">
        <f ca="1">IFERROR(__xludf.DUMMYFUNCTION("""COMPUTED_VALUE"""),"Model S 85")</f>
        <v>Model S 85</v>
      </c>
      <c r="C21">
        <f ca="1">IFERROR(__xludf.DUMMYFUNCTION("""COMPUTED_VALUE"""),390)</f>
        <v>390</v>
      </c>
      <c r="D21">
        <f ca="1">IFERROR(__xludf.DUMMYFUNCTION("""COMPUTED_VALUE"""),287424)</f>
        <v>287424</v>
      </c>
      <c r="E21">
        <f ca="1">IFERROR(__xludf.DUMMYFUNCTION("""COMPUTED_VALUE"""),330)</f>
        <v>330</v>
      </c>
      <c r="F21">
        <v>395</v>
      </c>
      <c r="G21">
        <v>0.83544303797468356</v>
      </c>
      <c r="H21">
        <v>178597</v>
      </c>
      <c r="I21">
        <v>287424</v>
      </c>
      <c r="J21">
        <v>178597</v>
      </c>
      <c r="K21">
        <v>0.88568830802093546</v>
      </c>
      <c r="L21">
        <f ca="1">E21*0.621371</f>
        <v>205.05243000000002</v>
      </c>
      <c r="M21">
        <f>F21*0.621371</f>
        <v>245.44154499999999</v>
      </c>
      <c r="N21">
        <v>178597</v>
      </c>
      <c r="O21">
        <f t="shared" ca="1" si="0"/>
        <v>0.83544303797468367</v>
      </c>
    </row>
    <row r="22" spans="1:15" x14ac:dyDescent="0.2">
      <c r="A22" t="str">
        <f ca="1">IFERROR(__xludf.DUMMYFUNCTION("""COMPUTED_VALUE"""),"mi")</f>
        <v>mi</v>
      </c>
      <c r="B22" t="str">
        <f ca="1">IFERROR(__xludf.DUMMYFUNCTION("""COMPUTED_VALUE"""),"Model S 60")</f>
        <v>Model S 60</v>
      </c>
      <c r="D22">
        <f ca="1">IFERROR(__xludf.DUMMYFUNCTION("""COMPUTED_VALUE"""),16217)</f>
        <v>16217</v>
      </c>
      <c r="E22">
        <f ca="1">IFERROR(__xludf.DUMMYFUNCTION("""COMPUTED_VALUE"""),174)</f>
        <v>174</v>
      </c>
      <c r="F22">
        <v>207</v>
      </c>
      <c r="G22">
        <v>0.84057971014492749</v>
      </c>
      <c r="H22">
        <v>16217</v>
      </c>
      <c r="I22">
        <v>26099</v>
      </c>
      <c r="J22">
        <v>16217</v>
      </c>
      <c r="K22">
        <v>0.9827298670614395</v>
      </c>
      <c r="L22">
        <f ca="1">IFERROR(__xludf.DUMMYFUNCTION("""COMPUTED_VALUE"""),174)</f>
        <v>174</v>
      </c>
      <c r="M22">
        <v>207</v>
      </c>
      <c r="N22">
        <v>16217</v>
      </c>
      <c r="O22">
        <f t="shared" ca="1" si="0"/>
        <v>0.84057971014492749</v>
      </c>
    </row>
    <row r="23" spans="1:15" x14ac:dyDescent="0.2">
      <c r="A23" t="str">
        <f ca="1">IFERROR(__xludf.DUMMYFUNCTION("""COMPUTED_VALUE"""),"mi")</f>
        <v>mi</v>
      </c>
      <c r="B23" t="str">
        <f ca="1">IFERROR(__xludf.DUMMYFUNCTION("""COMPUTED_VALUE"""),"Model 3 LR")</f>
        <v>Model 3 LR</v>
      </c>
      <c r="C23">
        <f ca="1">IFERROR(__xludf.DUMMYFUNCTION("""COMPUTED_VALUE"""),310)</f>
        <v>310</v>
      </c>
      <c r="D23">
        <f ca="1">IFERROR(__xludf.DUMMYFUNCTION("""COMPUTED_VALUE"""),72000)</f>
        <v>72000</v>
      </c>
      <c r="E23">
        <f ca="1">IFERROR(__xludf.DUMMYFUNCTION("""COMPUTED_VALUE"""),274)</f>
        <v>274</v>
      </c>
      <c r="F23">
        <v>325</v>
      </c>
      <c r="G23">
        <v>0.84307692307692306</v>
      </c>
      <c r="H23">
        <v>72000</v>
      </c>
      <c r="I23">
        <v>115873</v>
      </c>
      <c r="J23">
        <v>72000</v>
      </c>
      <c r="K23">
        <v>0.93315029894344359</v>
      </c>
      <c r="L23">
        <f ca="1">IFERROR(__xludf.DUMMYFUNCTION("""COMPUTED_VALUE"""),274)</f>
        <v>274</v>
      </c>
      <c r="M23">
        <v>325</v>
      </c>
      <c r="N23">
        <v>72000</v>
      </c>
      <c r="O23">
        <f t="shared" ca="1" si="0"/>
        <v>0.84307692307692306</v>
      </c>
    </row>
    <row r="24" spans="1:15" x14ac:dyDescent="0.2">
      <c r="A24" t="str">
        <f ca="1">IFERROR(__xludf.DUMMYFUNCTION("""COMPUTED_VALUE"""),"mi")</f>
        <v>mi</v>
      </c>
      <c r="B24" t="str">
        <f ca="1">IFERROR(__xludf.DUMMYFUNCTION("""COMPUTED_VALUE"""),"Model S 70D")</f>
        <v>Model S 70D</v>
      </c>
      <c r="C24">
        <f ca="1">IFERROR(__xludf.DUMMYFUNCTION("""COMPUTED_VALUE"""),230)</f>
        <v>230</v>
      </c>
      <c r="D24">
        <f ca="1">IFERROR(__xludf.DUMMYFUNCTION("""COMPUTED_VALUE"""),39500)</f>
        <v>39500</v>
      </c>
      <c r="E24">
        <f ca="1">IFERROR(__xludf.DUMMYFUNCTION("""COMPUTED_VALUE"""),203)</f>
        <v>203</v>
      </c>
      <c r="F24">
        <v>240</v>
      </c>
      <c r="G24">
        <v>0.84583333333333333</v>
      </c>
      <c r="H24">
        <v>39500</v>
      </c>
      <c r="I24">
        <v>63569</v>
      </c>
      <c r="J24">
        <v>39500</v>
      </c>
      <c r="K24">
        <v>0.96014042811476363</v>
      </c>
      <c r="L24">
        <f ca="1">IFERROR(__xludf.DUMMYFUNCTION("""COMPUTED_VALUE"""),203)</f>
        <v>203</v>
      </c>
      <c r="M24">
        <v>240</v>
      </c>
      <c r="N24">
        <v>39500</v>
      </c>
      <c r="O24">
        <f t="shared" ca="1" si="0"/>
        <v>0.84583333333333333</v>
      </c>
    </row>
    <row r="25" spans="1:15" x14ac:dyDescent="0.2">
      <c r="A25" t="str">
        <f ca="1">IFERROR(__xludf.DUMMYFUNCTION("""COMPUTED_VALUE"""),"mi")</f>
        <v>mi</v>
      </c>
      <c r="B25" t="str">
        <f ca="1">IFERROR(__xludf.DUMMYFUNCTION("""COMPUTED_VALUE"""),"Model 3 LR")</f>
        <v>Model 3 LR</v>
      </c>
      <c r="C25">
        <f ca="1">IFERROR(__xludf.DUMMYFUNCTION("""COMPUTED_VALUE"""),310)</f>
        <v>310</v>
      </c>
      <c r="D25">
        <f ca="1">IFERROR(__xludf.DUMMYFUNCTION("""COMPUTED_VALUE"""),264.8)</f>
        <v>264.8</v>
      </c>
      <c r="E25">
        <f ca="1">IFERROR(__xludf.DUMMYFUNCTION("""COMPUTED_VALUE"""),275)</f>
        <v>275</v>
      </c>
      <c r="F25">
        <v>325</v>
      </c>
      <c r="G25">
        <v>0.84615384615384615</v>
      </c>
      <c r="H25">
        <v>264.8</v>
      </c>
      <c r="I25">
        <v>426</v>
      </c>
      <c r="J25">
        <v>264.8</v>
      </c>
      <c r="K25">
        <v>0.99970822415051763</v>
      </c>
      <c r="L25">
        <f ca="1">IFERROR(__xludf.DUMMYFUNCTION("""COMPUTED_VALUE"""),275)</f>
        <v>275</v>
      </c>
      <c r="M25">
        <v>325</v>
      </c>
      <c r="N25">
        <v>264.8</v>
      </c>
      <c r="O25">
        <f t="shared" ca="1" si="0"/>
        <v>0.84615384615384615</v>
      </c>
    </row>
    <row r="26" spans="1:15" x14ac:dyDescent="0.2">
      <c r="A26" t="str">
        <f ca="1">IFERROR(__xludf.DUMMYFUNCTION("""COMPUTED_VALUE"""),"mi")</f>
        <v>mi</v>
      </c>
      <c r="B26" t="str">
        <f ca="1">IFERROR(__xludf.DUMMYFUNCTION("""COMPUTED_VALUE"""),"Model 3 LR")</f>
        <v>Model 3 LR</v>
      </c>
      <c r="C26">
        <f ca="1">IFERROR(__xludf.DUMMYFUNCTION("""COMPUTED_VALUE"""),310)</f>
        <v>310</v>
      </c>
      <c r="D26">
        <f ca="1">IFERROR(__xludf.DUMMYFUNCTION("""COMPUTED_VALUE"""),195912)</f>
        <v>195912</v>
      </c>
      <c r="E26">
        <f ca="1">IFERROR(__xludf.DUMMYFUNCTION("""COMPUTED_VALUE"""),276)</f>
        <v>276</v>
      </c>
      <c r="F26">
        <v>325</v>
      </c>
      <c r="G26">
        <v>0.84923076923076923</v>
      </c>
      <c r="H26">
        <v>195912</v>
      </c>
      <c r="I26">
        <v>315290</v>
      </c>
      <c r="J26">
        <v>195912</v>
      </c>
      <c r="K26">
        <v>0.88451292563336592</v>
      </c>
      <c r="L26">
        <f ca="1">IFERROR(__xludf.DUMMYFUNCTION("""COMPUTED_VALUE"""),276)</f>
        <v>276</v>
      </c>
      <c r="M26">
        <v>325</v>
      </c>
      <c r="N26">
        <v>195912</v>
      </c>
      <c r="O26">
        <f t="shared" ca="1" si="0"/>
        <v>0.84923076923076923</v>
      </c>
    </row>
    <row r="27" spans="1:15" x14ac:dyDescent="0.2">
      <c r="A27" t="str">
        <f ca="1">IFERROR(__xludf.DUMMYFUNCTION("""COMPUTED_VALUE"""),"km")</f>
        <v>km</v>
      </c>
      <c r="B27" t="str">
        <f ca="1">IFERROR(__xludf.DUMMYFUNCTION("""COMPUTED_VALUE"""),"Model S 90D")</f>
        <v>Model S 90D</v>
      </c>
      <c r="D27">
        <f ca="1">IFERROR(__xludf.DUMMYFUNCTION("""COMPUTED_VALUE"""),245000)</f>
        <v>245000</v>
      </c>
      <c r="E27">
        <f ca="1">IFERROR(__xludf.DUMMYFUNCTION("""COMPUTED_VALUE"""),380)</f>
        <v>380</v>
      </c>
      <c r="F27">
        <v>447</v>
      </c>
      <c r="G27">
        <v>0.85011185682326618</v>
      </c>
      <c r="H27">
        <v>152236</v>
      </c>
      <c r="I27">
        <v>245000</v>
      </c>
      <c r="J27">
        <v>152236</v>
      </c>
      <c r="K27">
        <v>0.89115563264470898</v>
      </c>
      <c r="L27">
        <f ca="1">E27*0.621371</f>
        <v>236.12098</v>
      </c>
      <c r="M27">
        <f>F27*0.621371</f>
        <v>277.752837</v>
      </c>
      <c r="N27">
        <v>152236</v>
      </c>
      <c r="O27">
        <f t="shared" ca="1" si="0"/>
        <v>0.85011185682326618</v>
      </c>
    </row>
    <row r="28" spans="1:15" x14ac:dyDescent="0.2">
      <c r="A28" t="str">
        <f ca="1">IFERROR(__xludf.DUMMYFUNCTION("""COMPUTED_VALUE"""),"km")</f>
        <v>km</v>
      </c>
      <c r="B28" t="str">
        <f ca="1">IFERROR(__xludf.DUMMYFUNCTION("""COMPUTED_VALUE"""),"Model S 85")</f>
        <v>Model S 85</v>
      </c>
      <c r="C28">
        <f ca="1">IFERROR(__xludf.DUMMYFUNCTION("""COMPUTED_VALUE"""),404)</f>
        <v>404</v>
      </c>
      <c r="D28">
        <f ca="1">IFERROR(__xludf.DUMMYFUNCTION("""COMPUTED_VALUE"""),208800)</f>
        <v>208800</v>
      </c>
      <c r="E28">
        <f ca="1">IFERROR(__xludf.DUMMYFUNCTION("""COMPUTED_VALUE"""),365)</f>
        <v>365</v>
      </c>
      <c r="F28">
        <v>428</v>
      </c>
      <c r="G28">
        <v>0.85280373831775702</v>
      </c>
      <c r="H28">
        <v>129742</v>
      </c>
      <c r="I28">
        <v>208800</v>
      </c>
      <c r="J28">
        <v>129742</v>
      </c>
      <c r="K28">
        <v>0.89919270317433653</v>
      </c>
      <c r="L28">
        <f ca="1">E28*0.621371</f>
        <v>226.80041500000002</v>
      </c>
      <c r="M28">
        <f>F28*0.621371</f>
        <v>265.94678800000003</v>
      </c>
      <c r="N28">
        <v>129742</v>
      </c>
      <c r="O28">
        <f t="shared" ca="1" si="0"/>
        <v>0.85280373831775702</v>
      </c>
    </row>
    <row r="29" spans="1:15" x14ac:dyDescent="0.2">
      <c r="A29" t="str">
        <f ca="1">IFERROR(__xludf.DUMMYFUNCTION("""COMPUTED_VALUE"""),"mi")</f>
        <v>mi</v>
      </c>
      <c r="B29" t="str">
        <f ca="1">IFERROR(__xludf.DUMMYFUNCTION("""COMPUTED_VALUE"""),"Model S 85")</f>
        <v>Model S 85</v>
      </c>
      <c r="C29">
        <f ca="1">IFERROR(__xludf.DUMMYFUNCTION("""COMPUTED_VALUE"""),265)</f>
        <v>265</v>
      </c>
      <c r="D29">
        <f ca="1">IFERROR(__xludf.DUMMYFUNCTION("""COMPUTED_VALUE"""),154137)</f>
        <v>154137</v>
      </c>
      <c r="E29">
        <f ca="1">IFERROR(__xludf.DUMMYFUNCTION("""COMPUTED_VALUE"""),227)</f>
        <v>227</v>
      </c>
      <c r="F29">
        <v>266</v>
      </c>
      <c r="G29">
        <v>0.85338345864661658</v>
      </c>
      <c r="H29">
        <v>154137</v>
      </c>
      <c r="I29">
        <v>248059</v>
      </c>
      <c r="J29">
        <v>154137</v>
      </c>
      <c r="K29">
        <v>0.89061663143516778</v>
      </c>
      <c r="L29">
        <f ca="1">IFERROR(__xludf.DUMMYFUNCTION("""COMPUTED_VALUE"""),227)</f>
        <v>227</v>
      </c>
      <c r="M29">
        <v>266</v>
      </c>
      <c r="N29">
        <v>154137</v>
      </c>
      <c r="O29">
        <f t="shared" ca="1" si="0"/>
        <v>0.85338345864661658</v>
      </c>
    </row>
    <row r="30" spans="1:15" x14ac:dyDescent="0.2">
      <c r="A30" t="str">
        <f ca="1">IFERROR(__xludf.DUMMYFUNCTION("""COMPUTED_VALUE"""),"mi")</f>
        <v>mi</v>
      </c>
      <c r="B30" t="str">
        <f ca="1">IFERROR(__xludf.DUMMYFUNCTION("""COMPUTED_VALUE"""),"Model S 60")</f>
        <v>Model S 60</v>
      </c>
      <c r="C30">
        <f ca="1">IFERROR(__xludf.DUMMYFUNCTION("""COMPUTED_VALUE"""),224)</f>
        <v>224</v>
      </c>
      <c r="D30">
        <f ca="1">IFERROR(__xludf.DUMMYFUNCTION("""COMPUTED_VALUE"""),82000)</f>
        <v>82000</v>
      </c>
      <c r="E30">
        <f ca="1">IFERROR(__xludf.DUMMYFUNCTION("""COMPUTED_VALUE"""),178)</f>
        <v>178</v>
      </c>
      <c r="F30">
        <v>207</v>
      </c>
      <c r="G30">
        <v>0.85990338164251212</v>
      </c>
      <c r="H30">
        <v>82000</v>
      </c>
      <c r="I30">
        <v>131966</v>
      </c>
      <c r="J30">
        <v>82000</v>
      </c>
      <c r="K30">
        <v>0.92595413525536774</v>
      </c>
      <c r="L30">
        <f ca="1">IFERROR(__xludf.DUMMYFUNCTION("""COMPUTED_VALUE"""),178)</f>
        <v>178</v>
      </c>
      <c r="M30">
        <v>207</v>
      </c>
      <c r="N30">
        <v>82000</v>
      </c>
      <c r="O30">
        <f t="shared" ca="1" si="0"/>
        <v>0.85990338164251212</v>
      </c>
    </row>
    <row r="31" spans="1:15" x14ac:dyDescent="0.2">
      <c r="A31" t="str">
        <f ca="1">IFERROR(__xludf.DUMMYFUNCTION("""COMPUTED_VALUE"""),"mi")</f>
        <v>mi</v>
      </c>
      <c r="B31" t="str">
        <f ca="1">IFERROR(__xludf.DUMMYFUNCTION("""COMPUTED_VALUE"""),"Model S 60")</f>
        <v>Model S 60</v>
      </c>
      <c r="D31">
        <f ca="1">IFERROR(__xludf.DUMMYFUNCTION("""COMPUTED_VALUE"""),29814)</f>
        <v>29814</v>
      </c>
      <c r="E31">
        <f ca="1">IFERROR(__xludf.DUMMYFUNCTION("""COMPUTED_VALUE"""),178)</f>
        <v>178</v>
      </c>
      <c r="F31">
        <v>207</v>
      </c>
      <c r="G31">
        <v>0.85990338164251212</v>
      </c>
      <c r="H31">
        <v>29814</v>
      </c>
      <c r="I31">
        <v>47981</v>
      </c>
      <c r="J31">
        <v>29814</v>
      </c>
      <c r="K31">
        <v>0.96921639114793945</v>
      </c>
      <c r="L31">
        <f ca="1">IFERROR(__xludf.DUMMYFUNCTION("""COMPUTED_VALUE"""),178)</f>
        <v>178</v>
      </c>
      <c r="M31">
        <v>207</v>
      </c>
      <c r="N31">
        <v>29814</v>
      </c>
      <c r="O31">
        <f t="shared" ca="1" si="0"/>
        <v>0.85990338164251212</v>
      </c>
    </row>
    <row r="32" spans="1:15" x14ac:dyDescent="0.2">
      <c r="A32" t="str">
        <f ca="1">IFERROR(__xludf.DUMMYFUNCTION("""COMPUTED_VALUE"""),"mi")</f>
        <v>mi</v>
      </c>
      <c r="B32" t="str">
        <f ca="1">IFERROR(__xludf.DUMMYFUNCTION("""COMPUTED_VALUE"""),"Model S 60")</f>
        <v>Model S 60</v>
      </c>
      <c r="D32">
        <f ca="1">IFERROR(__xludf.DUMMYFUNCTION("""COMPUTED_VALUE"""),17679)</f>
        <v>17679</v>
      </c>
      <c r="E32">
        <f ca="1">IFERROR(__xludf.DUMMYFUNCTION("""COMPUTED_VALUE"""),178)</f>
        <v>178</v>
      </c>
      <c r="F32">
        <v>207</v>
      </c>
      <c r="G32">
        <v>0.85990338164251212</v>
      </c>
      <c r="H32">
        <v>17679</v>
      </c>
      <c r="I32">
        <v>28452</v>
      </c>
      <c r="J32">
        <v>17679</v>
      </c>
      <c r="K32">
        <v>0.98123400202434585</v>
      </c>
      <c r="L32">
        <f ca="1">IFERROR(__xludf.DUMMYFUNCTION("""COMPUTED_VALUE"""),178)</f>
        <v>178</v>
      </c>
      <c r="M32">
        <v>207</v>
      </c>
      <c r="N32">
        <v>17679</v>
      </c>
      <c r="O32">
        <f t="shared" ca="1" si="0"/>
        <v>0.85990338164251212</v>
      </c>
    </row>
    <row r="33" spans="1:15" x14ac:dyDescent="0.2">
      <c r="A33" t="str">
        <f ca="1">IFERROR(__xludf.DUMMYFUNCTION("""COMPUTED_VALUE"""),"mi")</f>
        <v>mi</v>
      </c>
      <c r="B33" t="str">
        <f ca="1">IFERROR(__xludf.DUMMYFUNCTION("""COMPUTED_VALUE"""),"Model S 60")</f>
        <v>Model S 60</v>
      </c>
      <c r="D33">
        <f ca="1">IFERROR(__xludf.DUMMYFUNCTION("""COMPUTED_VALUE"""),36800)</f>
        <v>36800</v>
      </c>
      <c r="E33">
        <f ca="1">IFERROR(__xludf.DUMMYFUNCTION("""COMPUTED_VALUE"""),178)</f>
        <v>178</v>
      </c>
      <c r="F33">
        <v>207</v>
      </c>
      <c r="G33">
        <v>0.85990338164251212</v>
      </c>
      <c r="H33">
        <v>36800</v>
      </c>
      <c r="I33">
        <v>59224</v>
      </c>
      <c r="J33">
        <v>36800</v>
      </c>
      <c r="K33">
        <v>0.96262363412676633</v>
      </c>
      <c r="L33">
        <f ca="1">IFERROR(__xludf.DUMMYFUNCTION("""COMPUTED_VALUE"""),178)</f>
        <v>178</v>
      </c>
      <c r="M33">
        <v>207</v>
      </c>
      <c r="N33">
        <v>36800</v>
      </c>
      <c r="O33">
        <f t="shared" ca="1" si="0"/>
        <v>0.85990338164251212</v>
      </c>
    </row>
    <row r="34" spans="1:15" x14ac:dyDescent="0.2">
      <c r="A34" t="str">
        <f ca="1">IFERROR(__xludf.DUMMYFUNCTION("""COMPUTED_VALUE"""),"km")</f>
        <v>km</v>
      </c>
      <c r="B34" t="str">
        <f ca="1">IFERROR(__xludf.DUMMYFUNCTION("""COMPUTED_VALUE"""),"Model 3 SR+")</f>
        <v>Model 3 SR+</v>
      </c>
      <c r="C34">
        <f ca="1">IFERROR(__xludf.DUMMYFUNCTION("""COMPUTED_VALUE"""),381)</f>
        <v>381</v>
      </c>
      <c r="D34">
        <f ca="1">IFERROR(__xludf.DUMMYFUNCTION("""COMPUTED_VALUE"""),150367)</f>
        <v>150367</v>
      </c>
      <c r="E34">
        <f ca="1">IFERROR(__xludf.DUMMYFUNCTION("""COMPUTED_VALUE"""),328)</f>
        <v>328</v>
      </c>
      <c r="F34">
        <v>381</v>
      </c>
      <c r="G34">
        <v>0.86089238845144356</v>
      </c>
      <c r="H34">
        <v>93434</v>
      </c>
      <c r="I34">
        <v>150367</v>
      </c>
      <c r="J34">
        <v>93434</v>
      </c>
      <c r="K34">
        <v>0.91838624389194379</v>
      </c>
      <c r="L34">
        <f ca="1">E34*0.621371</f>
        <v>203.80968799999999</v>
      </c>
      <c r="M34">
        <f>F34*0.621371</f>
        <v>236.74235100000001</v>
      </c>
      <c r="N34">
        <v>93434</v>
      </c>
      <c r="O34">
        <f t="shared" ca="1" si="0"/>
        <v>0.86089238845144345</v>
      </c>
    </row>
    <row r="35" spans="1:15" x14ac:dyDescent="0.2">
      <c r="A35" t="str">
        <f ca="1">IFERROR(__xludf.DUMMYFUNCTION("""COMPUTED_VALUE"""),"km")</f>
        <v>km</v>
      </c>
      <c r="B35" t="str">
        <f ca="1">IFERROR(__xludf.DUMMYFUNCTION("""COMPUTED_VALUE"""),"Model 3 SR+")</f>
        <v>Model 3 SR+</v>
      </c>
      <c r="D35">
        <f ca="1">IFERROR(__xludf.DUMMYFUNCTION("""COMPUTED_VALUE"""),44060)</f>
        <v>44060</v>
      </c>
      <c r="E35">
        <f ca="1">IFERROR(__xludf.DUMMYFUNCTION("""COMPUTED_VALUE"""),328)</f>
        <v>328</v>
      </c>
      <c r="F35">
        <v>381</v>
      </c>
      <c r="G35">
        <v>0.86089238845144356</v>
      </c>
      <c r="H35">
        <v>27378</v>
      </c>
      <c r="I35">
        <v>44060</v>
      </c>
      <c r="J35">
        <v>27378</v>
      </c>
      <c r="K35">
        <v>0.9715719529586857</v>
      </c>
      <c r="L35">
        <f ca="1">E35*0.621371</f>
        <v>203.80968799999999</v>
      </c>
      <c r="M35">
        <f>F35*0.621371</f>
        <v>236.74235100000001</v>
      </c>
      <c r="N35">
        <v>27378</v>
      </c>
      <c r="O35">
        <f t="shared" ca="1" si="0"/>
        <v>0.86089238845144345</v>
      </c>
    </row>
    <row r="36" spans="1:15" x14ac:dyDescent="0.2">
      <c r="A36" t="str">
        <f ca="1">IFERROR(__xludf.DUMMYFUNCTION("""COMPUTED_VALUE"""),"mi")</f>
        <v>mi</v>
      </c>
      <c r="B36" t="str">
        <f ca="1">IFERROR(__xludf.DUMMYFUNCTION("""COMPUTED_VALUE"""),"Model 3 LR AWD")</f>
        <v>Model 3 LR AWD</v>
      </c>
      <c r="D36">
        <f ca="1">IFERROR(__xludf.DUMMYFUNCTION("""COMPUTED_VALUE"""),51399)</f>
        <v>51399</v>
      </c>
      <c r="E36">
        <f ca="1">IFERROR(__xludf.DUMMYFUNCTION("""COMPUTED_VALUE"""),268)</f>
        <v>268</v>
      </c>
      <c r="F36">
        <v>310</v>
      </c>
      <c r="G36">
        <v>0.86451612903225805</v>
      </c>
      <c r="H36">
        <v>51399</v>
      </c>
      <c r="I36">
        <v>82719</v>
      </c>
      <c r="J36">
        <v>51399</v>
      </c>
      <c r="K36">
        <v>0.94963118115387224</v>
      </c>
      <c r="L36">
        <f ca="1">IFERROR(__xludf.DUMMYFUNCTION("""COMPUTED_VALUE"""),268)</f>
        <v>268</v>
      </c>
      <c r="M36">
        <v>310</v>
      </c>
      <c r="N36">
        <v>51399</v>
      </c>
      <c r="O36">
        <f t="shared" ca="1" si="0"/>
        <v>0.86451612903225805</v>
      </c>
    </row>
    <row r="37" spans="1:15" x14ac:dyDescent="0.2">
      <c r="A37" t="str">
        <f ca="1">IFERROR(__xludf.DUMMYFUNCTION("""COMPUTED_VALUE"""),"mi")</f>
        <v>mi</v>
      </c>
      <c r="B37" t="str">
        <f ca="1">IFERROR(__xludf.DUMMYFUNCTION("""COMPUTED_VALUE"""),"Model S 75D")</f>
        <v>Model S 75D</v>
      </c>
      <c r="D37">
        <f ca="1">IFERROR(__xludf.DUMMYFUNCTION("""COMPUTED_VALUE"""),130000)</f>
        <v>130000</v>
      </c>
      <c r="E37">
        <f ca="1">IFERROR(__xludf.DUMMYFUNCTION("""COMPUTED_VALUE"""),224)</f>
        <v>224</v>
      </c>
      <c r="F37">
        <v>259</v>
      </c>
      <c r="G37">
        <v>0.86486486486486491</v>
      </c>
      <c r="H37">
        <v>130000</v>
      </c>
      <c r="I37">
        <v>209215</v>
      </c>
      <c r="J37">
        <v>130000</v>
      </c>
      <c r="K37">
        <v>0.89908348705748875</v>
      </c>
      <c r="L37">
        <f ca="1">IFERROR(__xludf.DUMMYFUNCTION("""COMPUTED_VALUE"""),224)</f>
        <v>224</v>
      </c>
      <c r="M37">
        <v>259</v>
      </c>
      <c r="N37">
        <v>130000</v>
      </c>
      <c r="O37">
        <f t="shared" ca="1" si="0"/>
        <v>0.86486486486486491</v>
      </c>
    </row>
    <row r="38" spans="1:15" x14ac:dyDescent="0.2">
      <c r="A38" t="str">
        <f ca="1">IFERROR(__xludf.DUMMYFUNCTION("""COMPUTED_VALUE"""),"km")</f>
        <v>km</v>
      </c>
      <c r="B38" t="str">
        <f ca="1">IFERROR(__xludf.DUMMYFUNCTION("""COMPUTED_VALUE"""),"Model 3 LR AWD")</f>
        <v>Model 3 LR AWD</v>
      </c>
      <c r="C38">
        <f ca="1">IFERROR(__xludf.DUMMYFUNCTION("""COMPUTED_VALUE"""),499)</f>
        <v>499</v>
      </c>
      <c r="D38">
        <f ca="1">IFERROR(__xludf.DUMMYFUNCTION("""COMPUTED_VALUE"""),148912)</f>
        <v>148912</v>
      </c>
      <c r="E38">
        <f ca="1">IFERROR(__xludf.DUMMYFUNCTION("""COMPUTED_VALUE"""),432)</f>
        <v>432</v>
      </c>
      <c r="F38">
        <v>499</v>
      </c>
      <c r="G38">
        <v>0.86573146292585168</v>
      </c>
      <c r="H38">
        <v>92530</v>
      </c>
      <c r="I38">
        <v>148912</v>
      </c>
      <c r="J38">
        <v>92530</v>
      </c>
      <c r="K38">
        <v>0.91895867767775818</v>
      </c>
      <c r="L38">
        <f ca="1">E38*0.621371</f>
        <v>268.43227200000001</v>
      </c>
      <c r="M38">
        <f>F38*0.621371</f>
        <v>310.06412899999998</v>
      </c>
      <c r="N38">
        <v>92530</v>
      </c>
      <c r="O38">
        <f t="shared" ca="1" si="0"/>
        <v>0.86573146292585179</v>
      </c>
    </row>
    <row r="39" spans="1:15" x14ac:dyDescent="0.2">
      <c r="A39" t="str">
        <f ca="1">IFERROR(__xludf.DUMMYFUNCTION("""COMPUTED_VALUE"""),"mi")</f>
        <v>mi</v>
      </c>
      <c r="B39" t="str">
        <f ca="1">IFERROR(__xludf.DUMMYFUNCTION("""COMPUTED_VALUE"""),"Model 3 LR AWD")</f>
        <v>Model 3 LR AWD</v>
      </c>
      <c r="D39">
        <f ca="1">IFERROR(__xludf.DUMMYFUNCTION("""COMPUTED_VALUE"""),52392)</f>
        <v>52392</v>
      </c>
      <c r="E39">
        <f ca="1">IFERROR(__xludf.DUMMYFUNCTION("""COMPUTED_VALUE"""),269)</f>
        <v>269</v>
      </c>
      <c r="F39">
        <v>310</v>
      </c>
      <c r="G39">
        <v>0.86774193548387102</v>
      </c>
      <c r="H39">
        <v>52392</v>
      </c>
      <c r="I39">
        <v>84317</v>
      </c>
      <c r="J39">
        <v>52392</v>
      </c>
      <c r="K39">
        <v>0.94878659347277861</v>
      </c>
      <c r="L39">
        <f ca="1">IFERROR(__xludf.DUMMYFUNCTION("""COMPUTED_VALUE"""),269)</f>
        <v>269</v>
      </c>
      <c r="M39">
        <v>310</v>
      </c>
      <c r="N39">
        <v>52392</v>
      </c>
      <c r="O39">
        <f t="shared" ca="1" si="0"/>
        <v>0.86774193548387102</v>
      </c>
    </row>
    <row r="40" spans="1:15" x14ac:dyDescent="0.2">
      <c r="A40" t="str">
        <f ca="1">IFERROR(__xludf.DUMMYFUNCTION("""COMPUTED_VALUE"""),"mi")</f>
        <v>mi</v>
      </c>
      <c r="B40" t="str">
        <f ca="1">IFERROR(__xludf.DUMMYFUNCTION("""COMPUTED_VALUE"""),"Model S 75D")</f>
        <v>Model S 75D</v>
      </c>
      <c r="D40">
        <f ca="1">IFERROR(__xludf.DUMMYFUNCTION("""COMPUTED_VALUE"""),103000)</f>
        <v>103000</v>
      </c>
      <c r="E40">
        <f ca="1">IFERROR(__xludf.DUMMYFUNCTION("""COMPUTED_VALUE"""),225)</f>
        <v>225</v>
      </c>
      <c r="F40">
        <v>259</v>
      </c>
      <c r="G40">
        <v>0.86872586872586877</v>
      </c>
      <c r="H40">
        <v>103000</v>
      </c>
      <c r="I40">
        <v>165762</v>
      </c>
      <c r="J40">
        <v>103000</v>
      </c>
      <c r="K40">
        <v>0.91260623489785675</v>
      </c>
      <c r="L40">
        <f ca="1">IFERROR(__xludf.DUMMYFUNCTION("""COMPUTED_VALUE"""),225)</f>
        <v>225</v>
      </c>
      <c r="M40">
        <v>259</v>
      </c>
      <c r="N40">
        <v>103000</v>
      </c>
      <c r="O40">
        <f t="shared" ca="1" si="0"/>
        <v>0.86872586872586877</v>
      </c>
    </row>
    <row r="41" spans="1:15" x14ac:dyDescent="0.2">
      <c r="A41" t="str">
        <f ca="1">IFERROR(__xludf.DUMMYFUNCTION("""COMPUTED_VALUE"""),"mi")</f>
        <v>mi</v>
      </c>
      <c r="B41" t="str">
        <f ca="1">IFERROR(__xludf.DUMMYFUNCTION("""COMPUTED_VALUE"""),"Model S 75D")</f>
        <v>Model S 75D</v>
      </c>
      <c r="D41">
        <f ca="1">IFERROR(__xludf.DUMMYFUNCTION("""COMPUTED_VALUE"""),71800)</f>
        <v>71800</v>
      </c>
      <c r="E41">
        <f ca="1">IFERROR(__xludf.DUMMYFUNCTION("""COMPUTED_VALUE"""),225)</f>
        <v>225</v>
      </c>
      <c r="F41">
        <v>259</v>
      </c>
      <c r="G41">
        <v>0.86872586872586877</v>
      </c>
      <c r="H41">
        <v>71800</v>
      </c>
      <c r="I41">
        <v>115551</v>
      </c>
      <c r="J41">
        <v>71800</v>
      </c>
      <c r="K41">
        <v>0.93329971150113034</v>
      </c>
      <c r="L41">
        <f ca="1">IFERROR(__xludf.DUMMYFUNCTION("""COMPUTED_VALUE"""),225)</f>
        <v>225</v>
      </c>
      <c r="M41">
        <v>259</v>
      </c>
      <c r="N41">
        <v>71800</v>
      </c>
      <c r="O41">
        <f t="shared" ca="1" si="0"/>
        <v>0.86872586872586877</v>
      </c>
    </row>
    <row r="42" spans="1:15" x14ac:dyDescent="0.2">
      <c r="A42" t="str">
        <f ca="1">IFERROR(__xludf.DUMMYFUNCTION("""COMPUTED_VALUE"""),"mi")</f>
        <v>mi</v>
      </c>
      <c r="B42" t="str">
        <f ca="1">IFERROR(__xludf.DUMMYFUNCTION("""COMPUTED_VALUE"""),"Model S 60")</f>
        <v>Model S 60</v>
      </c>
      <c r="D42">
        <f ca="1">IFERROR(__xludf.DUMMYFUNCTION("""COMPUTED_VALUE"""),65000)</f>
        <v>65000</v>
      </c>
      <c r="E42">
        <f ca="1">IFERROR(__xludf.DUMMYFUNCTION("""COMPUTED_VALUE"""),180)</f>
        <v>180</v>
      </c>
      <c r="F42">
        <v>207</v>
      </c>
      <c r="G42">
        <v>0.86956521739130432</v>
      </c>
      <c r="H42">
        <v>65000</v>
      </c>
      <c r="I42">
        <v>104607</v>
      </c>
      <c r="J42">
        <v>65000</v>
      </c>
      <c r="K42">
        <v>0.93850316322445093</v>
      </c>
      <c r="L42">
        <f ca="1">IFERROR(__xludf.DUMMYFUNCTION("""COMPUTED_VALUE"""),180)</f>
        <v>180</v>
      </c>
      <c r="M42">
        <v>207</v>
      </c>
      <c r="N42">
        <v>65000</v>
      </c>
      <c r="O42">
        <f t="shared" ca="1" si="0"/>
        <v>0.86956521739130432</v>
      </c>
    </row>
    <row r="43" spans="1:15" x14ac:dyDescent="0.2">
      <c r="A43" t="str">
        <f ca="1">IFERROR(__xludf.DUMMYFUNCTION("""COMPUTED_VALUE"""),"km")</f>
        <v>km</v>
      </c>
      <c r="B43" t="str">
        <f ca="1">IFERROR(__xludf.DUMMYFUNCTION("""COMPUTED_VALUE"""),"Model 3 LR AWD")</f>
        <v>Model 3 LR AWD</v>
      </c>
      <c r="D43">
        <f ca="1">IFERROR(__xludf.DUMMYFUNCTION("""COMPUTED_VALUE"""),34021)</f>
        <v>34021</v>
      </c>
      <c r="E43">
        <f ca="1">IFERROR(__xludf.DUMMYFUNCTION("""COMPUTED_VALUE"""),434)</f>
        <v>434</v>
      </c>
      <c r="F43">
        <v>499</v>
      </c>
      <c r="G43">
        <v>0.86973947895791581</v>
      </c>
      <c r="H43">
        <v>21140</v>
      </c>
      <c r="I43">
        <v>34021</v>
      </c>
      <c r="J43">
        <v>21140</v>
      </c>
      <c r="K43">
        <v>0.97773446026253263</v>
      </c>
      <c r="L43">
        <f t="shared" ref="L43:M46" ca="1" si="1">E43*0.621371</f>
        <v>269.67501399999998</v>
      </c>
      <c r="M43">
        <f t="shared" si="1"/>
        <v>310.06412899999998</v>
      </c>
      <c r="N43">
        <v>21140</v>
      </c>
      <c r="O43">
        <f t="shared" ca="1" si="0"/>
        <v>0.86973947895791581</v>
      </c>
    </row>
    <row r="44" spans="1:15" x14ac:dyDescent="0.2">
      <c r="A44" t="str">
        <f ca="1">IFERROR(__xludf.DUMMYFUNCTION("""COMPUTED_VALUE"""),"km")</f>
        <v>km</v>
      </c>
      <c r="B44" t="str">
        <f ca="1">IFERROR(__xludf.DUMMYFUNCTION("""COMPUTED_VALUE"""),"Model X 90D")</f>
        <v>Model X 90D</v>
      </c>
      <c r="C44">
        <f ca="1">IFERROR(__xludf.DUMMYFUNCTION("""COMPUTED_VALUE"""),400)</f>
        <v>400</v>
      </c>
      <c r="D44">
        <f ca="1">IFERROR(__xludf.DUMMYFUNCTION("""COMPUTED_VALUE"""),157280)</f>
        <v>157280</v>
      </c>
      <c r="E44">
        <f ca="1">IFERROR(__xludf.DUMMYFUNCTION("""COMPUTED_VALUE"""),348)</f>
        <v>348</v>
      </c>
      <c r="F44">
        <v>400</v>
      </c>
      <c r="G44">
        <v>0.87</v>
      </c>
      <c r="H44">
        <v>97729</v>
      </c>
      <c r="I44">
        <v>157280</v>
      </c>
      <c r="J44">
        <v>97729</v>
      </c>
      <c r="K44">
        <v>0.91572801763155298</v>
      </c>
      <c r="L44">
        <f t="shared" ca="1" si="1"/>
        <v>216.23710800000001</v>
      </c>
      <c r="M44">
        <f t="shared" si="1"/>
        <v>248.54840000000002</v>
      </c>
      <c r="N44">
        <v>97729</v>
      </c>
      <c r="O44">
        <f t="shared" ca="1" si="0"/>
        <v>0.87</v>
      </c>
    </row>
    <row r="45" spans="1:15" x14ac:dyDescent="0.2">
      <c r="A45" t="str">
        <f ca="1">IFERROR(__xludf.DUMMYFUNCTION("""COMPUTED_VALUE"""),"km")</f>
        <v>km</v>
      </c>
      <c r="B45" t="str">
        <f ca="1">IFERROR(__xludf.DUMMYFUNCTION("""COMPUTED_VALUE"""),"Model S 75")</f>
        <v>Model S 75</v>
      </c>
      <c r="D45">
        <f ca="1">IFERROR(__xludf.DUMMYFUNCTION("""COMPUTED_VALUE"""),161327)</f>
        <v>161327</v>
      </c>
      <c r="E45">
        <f ca="1">IFERROR(__xludf.DUMMYFUNCTION("""COMPUTED_VALUE"""),327)</f>
        <v>327</v>
      </c>
      <c r="F45">
        <v>375</v>
      </c>
      <c r="G45">
        <v>0.872</v>
      </c>
      <c r="H45">
        <v>100244</v>
      </c>
      <c r="I45">
        <v>161327</v>
      </c>
      <c r="J45">
        <v>100244</v>
      </c>
      <c r="K45">
        <v>0.91421923701118446</v>
      </c>
      <c r="L45">
        <f t="shared" ca="1" si="1"/>
        <v>203.18831700000001</v>
      </c>
      <c r="M45">
        <f t="shared" si="1"/>
        <v>233.01412500000001</v>
      </c>
      <c r="N45">
        <v>100244</v>
      </c>
      <c r="O45">
        <f t="shared" ca="1" si="0"/>
        <v>0.872</v>
      </c>
    </row>
    <row r="46" spans="1:15" x14ac:dyDescent="0.2">
      <c r="A46" t="str">
        <f ca="1">IFERROR(__xludf.DUMMYFUNCTION("""COMPUTED_VALUE"""),"km")</f>
        <v>km</v>
      </c>
      <c r="B46" t="str">
        <f ca="1">IFERROR(__xludf.DUMMYFUNCTION("""COMPUTED_VALUE"""),"Model S 85")</f>
        <v>Model S 85</v>
      </c>
      <c r="C46">
        <f ca="1">IFERROR(__xludf.DUMMYFUNCTION("""COMPUTED_VALUE"""),345)</f>
        <v>345</v>
      </c>
      <c r="D46">
        <f ca="1">IFERROR(__xludf.DUMMYFUNCTION("""COMPUTED_VALUE"""),345)</f>
        <v>345</v>
      </c>
      <c r="E46">
        <f ca="1">IFERROR(__xludf.DUMMYFUNCTION("""COMPUTED_VALUE"""),345)</f>
        <v>345</v>
      </c>
      <c r="F46">
        <v>395</v>
      </c>
      <c r="G46">
        <v>0.87341772151898733</v>
      </c>
      <c r="H46">
        <v>214</v>
      </c>
      <c r="I46">
        <v>345</v>
      </c>
      <c r="J46">
        <v>214</v>
      </c>
      <c r="K46">
        <v>0.99976367764565577</v>
      </c>
      <c r="L46">
        <f t="shared" ca="1" si="1"/>
        <v>214.372995</v>
      </c>
      <c r="M46">
        <f t="shared" si="1"/>
        <v>245.44154499999999</v>
      </c>
      <c r="N46">
        <v>214</v>
      </c>
      <c r="O46">
        <f t="shared" ca="1" si="0"/>
        <v>0.87341772151898733</v>
      </c>
    </row>
    <row r="47" spans="1:15" x14ac:dyDescent="0.2">
      <c r="A47" t="str">
        <f ca="1">IFERROR(__xludf.DUMMYFUNCTION("""COMPUTED_VALUE"""),"mi")</f>
        <v>mi</v>
      </c>
      <c r="B47" t="str">
        <f ca="1">IFERROR(__xludf.DUMMYFUNCTION("""COMPUTED_VALUE"""),"Model S P85")</f>
        <v>Model S P85</v>
      </c>
      <c r="D47">
        <f ca="1">IFERROR(__xludf.DUMMYFUNCTION("""COMPUTED_VALUE"""),111942)</f>
        <v>111942</v>
      </c>
      <c r="E47">
        <f ca="1">IFERROR(__xludf.DUMMYFUNCTION("""COMPUTED_VALUE"""),233)</f>
        <v>233</v>
      </c>
      <c r="F47">
        <v>266</v>
      </c>
      <c r="G47">
        <v>0.87593984962406013</v>
      </c>
      <c r="H47">
        <v>111942</v>
      </c>
      <c r="I47">
        <v>180153</v>
      </c>
      <c r="J47">
        <v>111942</v>
      </c>
      <c r="K47">
        <v>0.90766596975243685</v>
      </c>
      <c r="L47">
        <f ca="1">IFERROR(__xludf.DUMMYFUNCTION("""COMPUTED_VALUE"""),233)</f>
        <v>233</v>
      </c>
      <c r="M47">
        <v>266</v>
      </c>
      <c r="N47">
        <v>111942</v>
      </c>
      <c r="O47">
        <f t="shared" ca="1" si="0"/>
        <v>0.87593984962406013</v>
      </c>
    </row>
    <row r="48" spans="1:15" x14ac:dyDescent="0.2">
      <c r="A48" t="str">
        <f ca="1">IFERROR(__xludf.DUMMYFUNCTION("""COMPUTED_VALUE"""),"km")</f>
        <v>km</v>
      </c>
      <c r="B48" t="str">
        <f ca="1">IFERROR(__xludf.DUMMYFUNCTION("""COMPUTED_VALUE"""),"Model S 85")</f>
        <v>Model S 85</v>
      </c>
      <c r="C48">
        <f ca="1">IFERROR(__xludf.DUMMYFUNCTION("""COMPUTED_VALUE"""),395)</f>
        <v>395</v>
      </c>
      <c r="D48">
        <f ca="1">IFERROR(__xludf.DUMMYFUNCTION("""COMPUTED_VALUE"""),234315)</f>
        <v>234315</v>
      </c>
      <c r="E48">
        <f ca="1">IFERROR(__xludf.DUMMYFUNCTION("""COMPUTED_VALUE"""),346)</f>
        <v>346</v>
      </c>
      <c r="F48">
        <v>395</v>
      </c>
      <c r="G48">
        <v>0.8759493670886076</v>
      </c>
      <c r="H48">
        <v>145597</v>
      </c>
      <c r="I48">
        <v>234315</v>
      </c>
      <c r="J48">
        <v>145597</v>
      </c>
      <c r="K48">
        <v>0.89321138855029314</v>
      </c>
      <c r="L48">
        <f t="shared" ref="L48:M51" ca="1" si="2">E48*0.621371</f>
        <v>214.99436600000001</v>
      </c>
      <c r="M48">
        <f t="shared" si="2"/>
        <v>245.44154499999999</v>
      </c>
      <c r="N48">
        <v>145597</v>
      </c>
      <c r="O48">
        <f t="shared" ca="1" si="0"/>
        <v>0.87594936708860771</v>
      </c>
    </row>
    <row r="49" spans="1:15" x14ac:dyDescent="0.2">
      <c r="A49" t="str">
        <f ca="1">IFERROR(__xludf.DUMMYFUNCTION("""COMPUTED_VALUE"""),"km")</f>
        <v>km</v>
      </c>
      <c r="B49" t="str">
        <f ca="1">IFERROR(__xludf.DUMMYFUNCTION("""COMPUTED_VALUE"""),"Model S 85")</f>
        <v>Model S 85</v>
      </c>
      <c r="C49">
        <f ca="1">IFERROR(__xludf.DUMMYFUNCTION("""COMPUTED_VALUE"""),425)</f>
        <v>425</v>
      </c>
      <c r="D49">
        <f ca="1">IFERROR(__xludf.DUMMYFUNCTION("""COMPUTED_VALUE"""),282028)</f>
        <v>282028</v>
      </c>
      <c r="E49">
        <f ca="1">IFERROR(__xludf.DUMMYFUNCTION("""COMPUTED_VALUE"""),376)</f>
        <v>376</v>
      </c>
      <c r="F49">
        <v>428</v>
      </c>
      <c r="G49">
        <v>0.87850467289719625</v>
      </c>
      <c r="H49">
        <v>175244</v>
      </c>
      <c r="I49">
        <v>282028</v>
      </c>
      <c r="J49">
        <v>175244</v>
      </c>
      <c r="K49">
        <v>0.88614037904728193</v>
      </c>
      <c r="L49">
        <f t="shared" ca="1" si="2"/>
        <v>233.63549599999999</v>
      </c>
      <c r="M49">
        <f t="shared" si="2"/>
        <v>265.94678800000003</v>
      </c>
      <c r="N49">
        <v>175244</v>
      </c>
      <c r="O49">
        <f t="shared" ca="1" si="0"/>
        <v>0.87850467289719614</v>
      </c>
    </row>
    <row r="50" spans="1:15" x14ac:dyDescent="0.2">
      <c r="A50" t="str">
        <f ca="1">IFERROR(__xludf.DUMMYFUNCTION("""COMPUTED_VALUE"""),"km")</f>
        <v>km</v>
      </c>
      <c r="B50" t="str">
        <f ca="1">IFERROR(__xludf.DUMMYFUNCTION("""COMPUTED_VALUE"""),"Model S P90D")</f>
        <v>Model S P90D</v>
      </c>
      <c r="C50">
        <f ca="1">IFERROR(__xludf.DUMMYFUNCTION("""COMPUTED_VALUE"""),412)</f>
        <v>412</v>
      </c>
      <c r="D50">
        <f ca="1">IFERROR(__xludf.DUMMYFUNCTION("""COMPUTED_VALUE"""),125018)</f>
        <v>125018</v>
      </c>
      <c r="E50">
        <f ca="1">IFERROR(__xludf.DUMMYFUNCTION("""COMPUTED_VALUE"""),362)</f>
        <v>362</v>
      </c>
      <c r="F50">
        <v>412</v>
      </c>
      <c r="G50">
        <v>0.87864077669902918</v>
      </c>
      <c r="H50">
        <v>77683</v>
      </c>
      <c r="I50">
        <v>125018</v>
      </c>
      <c r="J50">
        <v>77683</v>
      </c>
      <c r="K50">
        <v>0.92899554158451103</v>
      </c>
      <c r="L50">
        <f t="shared" ca="1" si="2"/>
        <v>224.93630200000001</v>
      </c>
      <c r="M50">
        <f t="shared" si="2"/>
        <v>256.00485200000003</v>
      </c>
      <c r="N50">
        <v>77683</v>
      </c>
      <c r="O50">
        <f t="shared" ca="1" si="0"/>
        <v>0.87864077669902907</v>
      </c>
    </row>
    <row r="51" spans="1:15" x14ac:dyDescent="0.2">
      <c r="A51" t="str">
        <f ca="1">IFERROR(__xludf.DUMMYFUNCTION("""COMPUTED_VALUE"""),"km")</f>
        <v>km</v>
      </c>
      <c r="B51" t="str">
        <f ca="1">IFERROR(__xludf.DUMMYFUNCTION("""COMPUTED_VALUE"""),"Model S 90D")</f>
        <v>Model S 90D</v>
      </c>
      <c r="C51">
        <f ca="1">IFERROR(__xludf.DUMMYFUNCTION("""COMPUTED_VALUE"""),459)</f>
        <v>459</v>
      </c>
      <c r="D51">
        <f ca="1">IFERROR(__xludf.DUMMYFUNCTION("""COMPUTED_VALUE"""),248172)</f>
        <v>248172</v>
      </c>
      <c r="E51">
        <f ca="1">IFERROR(__xludf.DUMMYFUNCTION("""COMPUTED_VALUE"""),393)</f>
        <v>393</v>
      </c>
      <c r="F51">
        <v>447</v>
      </c>
      <c r="G51">
        <v>0.87919463087248317</v>
      </c>
      <c r="H51">
        <v>154207</v>
      </c>
      <c r="I51">
        <v>248172</v>
      </c>
      <c r="J51">
        <v>154207</v>
      </c>
      <c r="K51">
        <v>0.89059714520180211</v>
      </c>
      <c r="L51">
        <f t="shared" ca="1" si="2"/>
        <v>244.198803</v>
      </c>
      <c r="M51">
        <f t="shared" si="2"/>
        <v>277.752837</v>
      </c>
      <c r="N51">
        <v>154207</v>
      </c>
      <c r="O51">
        <f t="shared" ca="1" si="0"/>
        <v>0.87919463087248317</v>
      </c>
    </row>
    <row r="52" spans="1:15" x14ac:dyDescent="0.2">
      <c r="A52" t="str">
        <f ca="1">IFERROR(__xludf.DUMMYFUNCTION("""COMPUTED_VALUE"""),"mi")</f>
        <v>mi</v>
      </c>
      <c r="B52" t="str">
        <f ca="1">IFERROR(__xludf.DUMMYFUNCTION("""COMPUTED_VALUE"""),"Model S 60")</f>
        <v>Model S 60</v>
      </c>
      <c r="C52">
        <f ca="1">IFERROR(__xludf.DUMMYFUNCTION("""COMPUTED_VALUE"""),208)</f>
        <v>208</v>
      </c>
      <c r="D52">
        <f ca="1">IFERROR(__xludf.DUMMYFUNCTION("""COMPUTED_VALUE"""),36200)</f>
        <v>36200</v>
      </c>
      <c r="E52">
        <f ca="1">IFERROR(__xludf.DUMMYFUNCTION("""COMPUTED_VALUE"""),182)</f>
        <v>182</v>
      </c>
      <c r="F52">
        <v>207</v>
      </c>
      <c r="G52">
        <v>0.87922705314009664</v>
      </c>
      <c r="H52">
        <v>36200</v>
      </c>
      <c r="I52">
        <v>58258</v>
      </c>
      <c r="J52">
        <v>36200</v>
      </c>
      <c r="K52">
        <v>0.96318062776654134</v>
      </c>
      <c r="L52">
        <f ca="1">IFERROR(__xludf.DUMMYFUNCTION("""COMPUTED_VALUE"""),182)</f>
        <v>182</v>
      </c>
      <c r="M52">
        <v>207</v>
      </c>
      <c r="N52">
        <v>36200</v>
      </c>
      <c r="O52">
        <f t="shared" ca="1" si="0"/>
        <v>0.87922705314009664</v>
      </c>
    </row>
    <row r="53" spans="1:15" x14ac:dyDescent="0.2">
      <c r="A53" t="str">
        <f ca="1">IFERROR(__xludf.DUMMYFUNCTION("""COMPUTED_VALUE"""),"mi")</f>
        <v>mi</v>
      </c>
      <c r="B53" t="str">
        <f ca="1">IFERROR(__xludf.DUMMYFUNCTION("""COMPUTED_VALUE"""),"Model S 85")</f>
        <v>Model S 85</v>
      </c>
      <c r="C53">
        <f ca="1">IFERROR(__xludf.DUMMYFUNCTION("""COMPUTED_VALUE"""),265)</f>
        <v>265</v>
      </c>
      <c r="D53">
        <f ca="1">IFERROR(__xludf.DUMMYFUNCTION("""COMPUTED_VALUE"""),202409)</f>
        <v>202409</v>
      </c>
      <c r="E53">
        <f ca="1">IFERROR(__xludf.DUMMYFUNCTION("""COMPUTED_VALUE"""),234)</f>
        <v>234</v>
      </c>
      <c r="F53">
        <v>266</v>
      </c>
      <c r="G53">
        <v>0.87969924812030076</v>
      </c>
      <c r="H53">
        <v>202409</v>
      </c>
      <c r="I53">
        <v>325746</v>
      </c>
      <c r="J53">
        <v>202409</v>
      </c>
      <c r="K53">
        <v>0.8845813865427028</v>
      </c>
      <c r="L53">
        <f ca="1">IFERROR(__xludf.DUMMYFUNCTION("""COMPUTED_VALUE"""),234)</f>
        <v>234</v>
      </c>
      <c r="M53">
        <v>266</v>
      </c>
      <c r="N53">
        <v>202409</v>
      </c>
      <c r="O53">
        <f t="shared" ca="1" si="0"/>
        <v>0.87969924812030076</v>
      </c>
    </row>
    <row r="54" spans="1:15" x14ac:dyDescent="0.2">
      <c r="A54" t="str">
        <f ca="1">IFERROR(__xludf.DUMMYFUNCTION("""COMPUTED_VALUE"""),"km")</f>
        <v>km</v>
      </c>
      <c r="B54" t="str">
        <f ca="1">IFERROR(__xludf.DUMMYFUNCTION("""COMPUTED_VALUE"""),"Model S 85D")</f>
        <v>Model S 85D</v>
      </c>
      <c r="D54">
        <f ca="1">IFERROR(__xludf.DUMMYFUNCTION("""COMPUTED_VALUE"""),74120)</f>
        <v>74120</v>
      </c>
      <c r="E54">
        <f ca="1">IFERROR(__xludf.DUMMYFUNCTION("""COMPUTED_VALUE"""),374)</f>
        <v>374</v>
      </c>
      <c r="F54">
        <v>425</v>
      </c>
      <c r="G54">
        <v>0.88</v>
      </c>
      <c r="H54">
        <v>46056</v>
      </c>
      <c r="I54">
        <v>74120</v>
      </c>
      <c r="J54">
        <v>46056</v>
      </c>
      <c r="K54">
        <v>0.95426194693495003</v>
      </c>
      <c r="L54">
        <f ca="1">E54*0.621371</f>
        <v>232.392754</v>
      </c>
      <c r="M54">
        <f>F54*0.621371</f>
        <v>264.08267499999999</v>
      </c>
      <c r="N54">
        <v>46056</v>
      </c>
      <c r="O54">
        <f t="shared" ca="1" si="0"/>
        <v>0.88</v>
      </c>
    </row>
    <row r="55" spans="1:15" x14ac:dyDescent="0.2">
      <c r="A55" t="str">
        <f ca="1">IFERROR(__xludf.DUMMYFUNCTION("""COMPUTED_VALUE"""),"mi")</f>
        <v>mi</v>
      </c>
      <c r="B55" t="str">
        <f ca="1">IFERROR(__xludf.DUMMYFUNCTION("""COMPUTED_VALUE"""),"Model 3 LR")</f>
        <v>Model 3 LR</v>
      </c>
      <c r="C55">
        <f ca="1">IFERROR(__xludf.DUMMYFUNCTION("""COMPUTED_VALUE"""),310)</f>
        <v>310</v>
      </c>
      <c r="D55">
        <f ca="1">IFERROR(__xludf.DUMMYFUNCTION("""COMPUTED_VALUE"""),220157)</f>
        <v>220157</v>
      </c>
      <c r="E55">
        <f ca="1">IFERROR(__xludf.DUMMYFUNCTION("""COMPUTED_VALUE"""),286)</f>
        <v>286</v>
      </c>
      <c r="F55">
        <v>325</v>
      </c>
      <c r="G55">
        <v>0.88</v>
      </c>
      <c r="H55">
        <v>220157</v>
      </c>
      <c r="I55">
        <v>354308</v>
      </c>
      <c r="J55">
        <v>220157</v>
      </c>
      <c r="K55">
        <v>0.88622175155297755</v>
      </c>
      <c r="L55">
        <f ca="1">IFERROR(__xludf.DUMMYFUNCTION("""COMPUTED_VALUE"""),286)</f>
        <v>286</v>
      </c>
      <c r="M55">
        <v>325</v>
      </c>
      <c r="N55">
        <v>220157</v>
      </c>
      <c r="O55">
        <f t="shared" ca="1" si="0"/>
        <v>0.88</v>
      </c>
    </row>
    <row r="56" spans="1:15" x14ac:dyDescent="0.2">
      <c r="A56" t="str">
        <f ca="1">IFERROR(__xludf.DUMMYFUNCTION("""COMPUTED_VALUE"""),"km")</f>
        <v>km</v>
      </c>
      <c r="B56" t="str">
        <f ca="1">IFERROR(__xludf.DUMMYFUNCTION("""COMPUTED_VALUE"""),"Model S 85")</f>
        <v>Model S 85</v>
      </c>
      <c r="C56">
        <f ca="1">IFERROR(__xludf.DUMMYFUNCTION("""COMPUTED_VALUE"""),410)</f>
        <v>410</v>
      </c>
      <c r="D56">
        <f ca="1">IFERROR(__xludf.DUMMYFUNCTION("""COMPUTED_VALUE"""),247899)</f>
        <v>247899</v>
      </c>
      <c r="E56">
        <f ca="1">IFERROR(__xludf.DUMMYFUNCTION("""COMPUTED_VALUE"""),348)</f>
        <v>348</v>
      </c>
      <c r="F56">
        <v>395</v>
      </c>
      <c r="G56">
        <v>0.88101265822784813</v>
      </c>
      <c r="H56">
        <v>154037</v>
      </c>
      <c r="I56">
        <v>247899</v>
      </c>
      <c r="J56">
        <v>154037</v>
      </c>
      <c r="K56">
        <v>0.89064427435767435</v>
      </c>
      <c r="L56">
        <f t="shared" ref="L56:M59" ca="1" si="3">E56*0.621371</f>
        <v>216.23710800000001</v>
      </c>
      <c r="M56">
        <f t="shared" si="3"/>
        <v>245.44154499999999</v>
      </c>
      <c r="N56">
        <v>154037</v>
      </c>
      <c r="O56">
        <f t="shared" ca="1" si="0"/>
        <v>0.88101265822784813</v>
      </c>
    </row>
    <row r="57" spans="1:15" x14ac:dyDescent="0.2">
      <c r="A57" t="str">
        <f ca="1">IFERROR(__xludf.DUMMYFUNCTION("""COMPUTED_VALUE"""),"km")</f>
        <v>km</v>
      </c>
      <c r="B57" t="str">
        <f ca="1">IFERROR(__xludf.DUMMYFUNCTION("""COMPUTED_VALUE"""),"Model X 100D")</f>
        <v>Model X 100D</v>
      </c>
      <c r="C57">
        <f ca="1">IFERROR(__xludf.DUMMYFUNCTION("""COMPUTED_VALUE"""),454)</f>
        <v>454</v>
      </c>
      <c r="D57">
        <f ca="1">IFERROR(__xludf.DUMMYFUNCTION("""COMPUTED_VALUE"""),75000)</f>
        <v>75000</v>
      </c>
      <c r="E57">
        <f ca="1">IFERROR(__xludf.DUMMYFUNCTION("""COMPUTED_VALUE"""),395)</f>
        <v>395</v>
      </c>
      <c r="F57">
        <v>448</v>
      </c>
      <c r="G57">
        <v>0.8816964285714286</v>
      </c>
      <c r="H57">
        <v>46603</v>
      </c>
      <c r="I57">
        <v>75000</v>
      </c>
      <c r="J57">
        <v>46603</v>
      </c>
      <c r="K57">
        <v>0.95378141078373002</v>
      </c>
      <c r="L57">
        <f t="shared" ca="1" si="3"/>
        <v>245.44154499999999</v>
      </c>
      <c r="M57">
        <f t="shared" si="3"/>
        <v>278.37420800000001</v>
      </c>
      <c r="N57">
        <v>46603</v>
      </c>
      <c r="O57">
        <f t="shared" ca="1" si="0"/>
        <v>0.88169642857142849</v>
      </c>
    </row>
    <row r="58" spans="1:15" x14ac:dyDescent="0.2">
      <c r="A58" t="str">
        <f ca="1">IFERROR(__xludf.DUMMYFUNCTION("""COMPUTED_VALUE"""),"km")</f>
        <v>km</v>
      </c>
      <c r="B58" t="str">
        <f ca="1">IFERROR(__xludf.DUMMYFUNCTION("""COMPUTED_VALUE"""),"Model S 85D")</f>
        <v>Model S 85D</v>
      </c>
      <c r="D58">
        <f ca="1">IFERROR(__xludf.DUMMYFUNCTION("""COMPUTED_VALUE"""),76172)</f>
        <v>76172</v>
      </c>
      <c r="E58">
        <f ca="1">IFERROR(__xludf.DUMMYFUNCTION("""COMPUTED_VALUE"""),375)</f>
        <v>375</v>
      </c>
      <c r="F58">
        <v>425</v>
      </c>
      <c r="G58">
        <v>0.88235294117647056</v>
      </c>
      <c r="H58">
        <v>47331</v>
      </c>
      <c r="I58">
        <v>76172</v>
      </c>
      <c r="J58">
        <v>47331</v>
      </c>
      <c r="K58">
        <v>0.95314376737244699</v>
      </c>
      <c r="L58">
        <f t="shared" ca="1" si="3"/>
        <v>233.01412500000001</v>
      </c>
      <c r="M58">
        <f t="shared" si="3"/>
        <v>264.08267499999999</v>
      </c>
      <c r="N58">
        <v>47331</v>
      </c>
      <c r="O58">
        <f t="shared" ca="1" si="0"/>
        <v>0.88235294117647067</v>
      </c>
    </row>
    <row r="59" spans="1:15" x14ac:dyDescent="0.2">
      <c r="A59" t="str">
        <f ca="1">IFERROR(__xludf.DUMMYFUNCTION("""COMPUTED_VALUE"""),"km")</f>
        <v>km</v>
      </c>
      <c r="B59" t="str">
        <f ca="1">IFERROR(__xludf.DUMMYFUNCTION("""COMPUTED_VALUE"""),"Model X 90D")</f>
        <v>Model X 90D</v>
      </c>
      <c r="C59">
        <f ca="1">IFERROR(__xludf.DUMMYFUNCTION("""COMPUTED_VALUE"""),399)</f>
        <v>399</v>
      </c>
      <c r="D59">
        <f ca="1">IFERROR(__xludf.DUMMYFUNCTION("""COMPUTED_VALUE"""),180000)</f>
        <v>180000</v>
      </c>
      <c r="E59">
        <f ca="1">IFERROR(__xludf.DUMMYFUNCTION("""COMPUTED_VALUE"""),353)</f>
        <v>353</v>
      </c>
      <c r="F59">
        <v>400</v>
      </c>
      <c r="G59">
        <v>0.88249999999999995</v>
      </c>
      <c r="H59">
        <v>111847</v>
      </c>
      <c r="I59">
        <v>180000</v>
      </c>
      <c r="J59">
        <v>111847</v>
      </c>
      <c r="K59">
        <v>0.90771611447395961</v>
      </c>
      <c r="L59">
        <f t="shared" ca="1" si="3"/>
        <v>219.343963</v>
      </c>
      <c r="M59">
        <f t="shared" si="3"/>
        <v>248.54840000000002</v>
      </c>
      <c r="N59">
        <v>111847</v>
      </c>
      <c r="O59">
        <f t="shared" ca="1" si="0"/>
        <v>0.88249999999999995</v>
      </c>
    </row>
    <row r="60" spans="1:15" x14ac:dyDescent="0.2">
      <c r="A60" t="str">
        <f ca="1">IFERROR(__xludf.DUMMYFUNCTION("""COMPUTED_VALUE"""),"mi")</f>
        <v>mi</v>
      </c>
      <c r="B60" t="str">
        <f ca="1">IFERROR(__xludf.DUMMYFUNCTION("""COMPUTED_VALUE"""),"Model S P85")</f>
        <v>Model S P85</v>
      </c>
      <c r="C60">
        <f ca="1">IFERROR(__xludf.DUMMYFUNCTION("""COMPUTED_VALUE"""),260)</f>
        <v>260</v>
      </c>
      <c r="D60">
        <f ca="1">IFERROR(__xludf.DUMMYFUNCTION("""COMPUTED_VALUE"""),124057)</f>
        <v>124057</v>
      </c>
      <c r="E60">
        <f ca="1">IFERROR(__xludf.DUMMYFUNCTION("""COMPUTED_VALUE"""),235)</f>
        <v>235</v>
      </c>
      <c r="F60">
        <v>266</v>
      </c>
      <c r="G60">
        <v>0.88345864661654139</v>
      </c>
      <c r="H60">
        <v>124057</v>
      </c>
      <c r="I60">
        <v>199650</v>
      </c>
      <c r="J60">
        <v>124057</v>
      </c>
      <c r="K60">
        <v>0.90169965220042325</v>
      </c>
      <c r="L60">
        <f ca="1">IFERROR(__xludf.DUMMYFUNCTION("""COMPUTED_VALUE"""),235)</f>
        <v>235</v>
      </c>
      <c r="M60">
        <v>266</v>
      </c>
      <c r="N60">
        <v>124057</v>
      </c>
      <c r="O60">
        <f t="shared" ca="1" si="0"/>
        <v>0.88345864661654139</v>
      </c>
    </row>
    <row r="61" spans="1:15" x14ac:dyDescent="0.2">
      <c r="A61" t="str">
        <f ca="1">IFERROR(__xludf.DUMMYFUNCTION("""COMPUTED_VALUE"""),"mi")</f>
        <v>mi</v>
      </c>
      <c r="B61" t="str">
        <f ca="1">IFERROR(__xludf.DUMMYFUNCTION("""COMPUTED_VALUE"""),"Model S 85")</f>
        <v>Model S 85</v>
      </c>
      <c r="D61">
        <f ca="1">IFERROR(__xludf.DUMMYFUNCTION("""COMPUTED_VALUE"""),236559)</f>
        <v>236559</v>
      </c>
      <c r="E61">
        <f ca="1">IFERROR(__xludf.DUMMYFUNCTION("""COMPUTED_VALUE"""),235)</f>
        <v>235</v>
      </c>
      <c r="F61">
        <v>266</v>
      </c>
      <c r="G61">
        <v>0.88345864661654139</v>
      </c>
      <c r="H61">
        <v>236559</v>
      </c>
      <c r="I61">
        <v>380705</v>
      </c>
      <c r="J61">
        <v>236559</v>
      </c>
      <c r="K61">
        <v>0.88967722832371376</v>
      </c>
      <c r="L61">
        <f ca="1">IFERROR(__xludf.DUMMYFUNCTION("""COMPUTED_VALUE"""),235)</f>
        <v>235</v>
      </c>
      <c r="M61">
        <v>266</v>
      </c>
      <c r="N61">
        <v>236559</v>
      </c>
      <c r="O61">
        <f t="shared" ca="1" si="0"/>
        <v>0.88345864661654139</v>
      </c>
    </row>
    <row r="62" spans="1:15" x14ac:dyDescent="0.2">
      <c r="A62" t="str">
        <f ca="1">IFERROR(__xludf.DUMMYFUNCTION("""COMPUTED_VALUE"""),"km")</f>
        <v>km</v>
      </c>
      <c r="B62" t="str">
        <f ca="1">IFERROR(__xludf.DUMMYFUNCTION("""COMPUTED_VALUE"""),"Model 3 SR+")</f>
        <v>Model 3 SR+</v>
      </c>
      <c r="C62">
        <f ca="1">IFERROR(__xludf.DUMMYFUNCTION("""COMPUTED_VALUE"""),386)</f>
        <v>386</v>
      </c>
      <c r="D62">
        <f ca="1">IFERROR(__xludf.DUMMYFUNCTION("""COMPUTED_VALUE"""),14700)</f>
        <v>14700</v>
      </c>
      <c r="E62">
        <f ca="1">IFERROR(__xludf.DUMMYFUNCTION("""COMPUTED_VALUE"""),337)</f>
        <v>337</v>
      </c>
      <c r="F62">
        <v>381</v>
      </c>
      <c r="G62">
        <v>0.884514435695538</v>
      </c>
      <c r="H62">
        <v>9134</v>
      </c>
      <c r="I62">
        <v>14700</v>
      </c>
      <c r="J62">
        <v>9134</v>
      </c>
      <c r="K62">
        <v>0.99012050384648087</v>
      </c>
      <c r="L62">
        <f ca="1">E62*0.621371</f>
        <v>209.402027</v>
      </c>
      <c r="M62">
        <f>F62*0.621371</f>
        <v>236.74235100000001</v>
      </c>
      <c r="N62">
        <v>9134</v>
      </c>
      <c r="O62">
        <f t="shared" ca="1" si="0"/>
        <v>0.884514435695538</v>
      </c>
    </row>
    <row r="63" spans="1:15" x14ac:dyDescent="0.2">
      <c r="A63" t="str">
        <f ca="1">IFERROR(__xludf.DUMMYFUNCTION("""COMPUTED_VALUE"""),"mi")</f>
        <v>mi</v>
      </c>
      <c r="B63" t="str">
        <f ca="1">IFERROR(__xludf.DUMMYFUNCTION("""COMPUTED_VALUE"""),"Model S 85")</f>
        <v>Model S 85</v>
      </c>
      <c r="D63">
        <f ca="1">IFERROR(__xludf.DUMMYFUNCTION("""COMPUTED_VALUE"""),213.568)</f>
        <v>213.56800000000001</v>
      </c>
      <c r="E63">
        <f ca="1">IFERROR(__xludf.DUMMYFUNCTION("""COMPUTED_VALUE"""),236)</f>
        <v>236</v>
      </c>
      <c r="F63">
        <v>266</v>
      </c>
      <c r="G63">
        <v>0.88721804511278191</v>
      </c>
      <c r="H63">
        <v>213.56800000000001</v>
      </c>
      <c r="I63">
        <v>344</v>
      </c>
      <c r="J63">
        <v>213.56800000000001</v>
      </c>
      <c r="K63">
        <v>0.99976436233010835</v>
      </c>
      <c r="L63">
        <f ca="1">IFERROR(__xludf.DUMMYFUNCTION("""COMPUTED_VALUE"""),236)</f>
        <v>236</v>
      </c>
      <c r="M63">
        <v>266</v>
      </c>
      <c r="N63">
        <v>213.56800000000001</v>
      </c>
      <c r="O63">
        <f t="shared" ca="1" si="0"/>
        <v>0.88721804511278191</v>
      </c>
    </row>
    <row r="64" spans="1:15" x14ac:dyDescent="0.2">
      <c r="A64" t="str">
        <f ca="1">IFERROR(__xludf.DUMMYFUNCTION("""COMPUTED_VALUE"""),"mi")</f>
        <v>mi</v>
      </c>
      <c r="B64" t="str">
        <f ca="1">IFERROR(__xludf.DUMMYFUNCTION("""COMPUTED_VALUE"""),"Model S 85")</f>
        <v>Model S 85</v>
      </c>
      <c r="D64">
        <f ca="1">IFERROR(__xludf.DUMMYFUNCTION("""COMPUTED_VALUE"""),218057)</f>
        <v>218057</v>
      </c>
      <c r="E64">
        <f ca="1">IFERROR(__xludf.DUMMYFUNCTION("""COMPUTED_VALUE"""),236)</f>
        <v>236</v>
      </c>
      <c r="F64">
        <v>266</v>
      </c>
      <c r="G64">
        <v>0.88721804511278191</v>
      </c>
      <c r="H64">
        <v>218057</v>
      </c>
      <c r="I64">
        <v>350929</v>
      </c>
      <c r="J64">
        <v>218057</v>
      </c>
      <c r="K64">
        <v>0.88591521282387875</v>
      </c>
      <c r="L64">
        <f ca="1">IFERROR(__xludf.DUMMYFUNCTION("""COMPUTED_VALUE"""),236)</f>
        <v>236</v>
      </c>
      <c r="M64">
        <v>266</v>
      </c>
      <c r="N64">
        <v>218057</v>
      </c>
      <c r="O64">
        <f t="shared" ca="1" si="0"/>
        <v>0.88721804511278191</v>
      </c>
    </row>
    <row r="65" spans="1:15" x14ac:dyDescent="0.2">
      <c r="A65" t="str">
        <f ca="1">IFERROR(__xludf.DUMMYFUNCTION("""COMPUTED_VALUE"""),"km")</f>
        <v>km</v>
      </c>
      <c r="B65" t="str">
        <f ca="1">IFERROR(__xludf.DUMMYFUNCTION("""COMPUTED_VALUE"""),"Model S 90D")</f>
        <v>Model S 90D</v>
      </c>
      <c r="D65">
        <f ca="1">IFERROR(__xludf.DUMMYFUNCTION("""COMPUTED_VALUE"""),191700)</f>
        <v>191700</v>
      </c>
      <c r="E65">
        <f ca="1">IFERROR(__xludf.DUMMYFUNCTION("""COMPUTED_VALUE"""),397)</f>
        <v>397</v>
      </c>
      <c r="F65">
        <v>447</v>
      </c>
      <c r="G65">
        <v>0.88814317673378074</v>
      </c>
      <c r="H65">
        <v>119117</v>
      </c>
      <c r="I65">
        <v>191700</v>
      </c>
      <c r="J65">
        <v>119117</v>
      </c>
      <c r="K65">
        <v>0.90403047673500769</v>
      </c>
      <c r="L65">
        <f ca="1">E65*0.621371</f>
        <v>246.68428700000001</v>
      </c>
      <c r="M65">
        <f>F65*0.621371</f>
        <v>277.752837</v>
      </c>
      <c r="N65">
        <v>119117</v>
      </c>
      <c r="O65">
        <f t="shared" ca="1" si="0"/>
        <v>0.88814317673378085</v>
      </c>
    </row>
    <row r="66" spans="1:15" x14ac:dyDescent="0.2">
      <c r="A66" t="str">
        <f ca="1">IFERROR(__xludf.DUMMYFUNCTION("""COMPUTED_VALUE"""),"km")</f>
        <v>km</v>
      </c>
      <c r="B66" t="str">
        <f ca="1">IFERROR(__xludf.DUMMYFUNCTION("""COMPUTED_VALUE"""),"Model S P85+")</f>
        <v>Model S P85+</v>
      </c>
      <c r="D66">
        <f ca="1">IFERROR(__xludf.DUMMYFUNCTION("""COMPUTED_VALUE"""),215750)</f>
        <v>215750</v>
      </c>
      <c r="E66">
        <f ca="1">IFERROR(__xludf.DUMMYFUNCTION("""COMPUTED_VALUE"""),351)</f>
        <v>351</v>
      </c>
      <c r="F66">
        <v>395</v>
      </c>
      <c r="G66">
        <v>0.88860759493670882</v>
      </c>
      <c r="H66">
        <v>134061</v>
      </c>
      <c r="I66">
        <v>215750</v>
      </c>
      <c r="J66">
        <v>134061</v>
      </c>
      <c r="K66">
        <v>0.89741531598762547</v>
      </c>
      <c r="L66">
        <f ca="1">E66*0.621371</f>
        <v>218.10122100000001</v>
      </c>
      <c r="M66">
        <f>F66*0.621371</f>
        <v>245.44154499999999</v>
      </c>
      <c r="N66">
        <v>134061</v>
      </c>
      <c r="O66">
        <f t="shared" ref="O66:O129" ca="1" si="4">L66/M66</f>
        <v>0.88860759493670893</v>
      </c>
    </row>
    <row r="67" spans="1:15" x14ac:dyDescent="0.2">
      <c r="A67" t="str">
        <f ca="1">IFERROR(__xludf.DUMMYFUNCTION("""COMPUTED_VALUE"""),"mi")</f>
        <v>mi</v>
      </c>
      <c r="B67" t="str">
        <f ca="1">IFERROR(__xludf.DUMMYFUNCTION("""COMPUTED_VALUE"""),"Model S 90D")</f>
        <v>Model S 90D</v>
      </c>
      <c r="D67">
        <f ca="1">IFERROR(__xludf.DUMMYFUNCTION("""COMPUTED_VALUE"""),8444)</f>
        <v>8444</v>
      </c>
      <c r="E67">
        <f ca="1">IFERROR(__xludf.DUMMYFUNCTION("""COMPUTED_VALUE"""),260)</f>
        <v>260</v>
      </c>
      <c r="F67">
        <v>292</v>
      </c>
      <c r="G67">
        <v>0.8904109589041096</v>
      </c>
      <c r="H67">
        <v>8444</v>
      </c>
      <c r="I67">
        <v>13589</v>
      </c>
      <c r="J67">
        <v>8444</v>
      </c>
      <c r="K67">
        <v>0.99085352461795351</v>
      </c>
      <c r="L67">
        <f ca="1">IFERROR(__xludf.DUMMYFUNCTION("""COMPUTED_VALUE"""),260)</f>
        <v>260</v>
      </c>
      <c r="M67">
        <v>292</v>
      </c>
      <c r="N67">
        <v>8444</v>
      </c>
      <c r="O67">
        <f t="shared" ca="1" si="4"/>
        <v>0.8904109589041096</v>
      </c>
    </row>
    <row r="68" spans="1:15" x14ac:dyDescent="0.2">
      <c r="A68" t="str">
        <f ca="1">IFERROR(__xludf.DUMMYFUNCTION("""COMPUTED_VALUE"""),"mi")</f>
        <v>mi</v>
      </c>
      <c r="B68" t="str">
        <f ca="1">IFERROR(__xludf.DUMMYFUNCTION("""COMPUTED_VALUE"""),"Model S P85")</f>
        <v>Model S P85</v>
      </c>
      <c r="D68">
        <f ca="1">IFERROR(__xludf.DUMMYFUNCTION("""COMPUTED_VALUE"""),73850)</f>
        <v>73850</v>
      </c>
      <c r="E68">
        <f ca="1">IFERROR(__xludf.DUMMYFUNCTION("""COMPUTED_VALUE"""),237)</f>
        <v>237</v>
      </c>
      <c r="F68">
        <v>266</v>
      </c>
      <c r="G68">
        <v>0.89097744360902253</v>
      </c>
      <c r="H68">
        <v>73850</v>
      </c>
      <c r="I68">
        <v>118850</v>
      </c>
      <c r="J68">
        <v>73850</v>
      </c>
      <c r="K68">
        <v>0.93177896199664234</v>
      </c>
      <c r="L68">
        <f ca="1">IFERROR(__xludf.DUMMYFUNCTION("""COMPUTED_VALUE"""),237)</f>
        <v>237</v>
      </c>
      <c r="M68">
        <v>266</v>
      </c>
      <c r="N68">
        <v>73850</v>
      </c>
      <c r="O68">
        <f t="shared" ca="1" si="4"/>
        <v>0.89097744360902253</v>
      </c>
    </row>
    <row r="69" spans="1:15" x14ac:dyDescent="0.2">
      <c r="A69" t="str">
        <f ca="1">IFERROR(__xludf.DUMMYFUNCTION("""COMPUTED_VALUE"""),"km")</f>
        <v>km</v>
      </c>
      <c r="B69" t="str">
        <f ca="1">IFERROR(__xludf.DUMMYFUNCTION("""COMPUTED_VALUE"""),"Model S 85")</f>
        <v>Model S 85</v>
      </c>
      <c r="D69">
        <f ca="1">IFERROR(__xludf.DUMMYFUNCTION("""COMPUTED_VALUE"""),315000)</f>
        <v>315000</v>
      </c>
      <c r="E69">
        <f ca="1">IFERROR(__xludf.DUMMYFUNCTION("""COMPUTED_VALUE"""),352)</f>
        <v>352</v>
      </c>
      <c r="F69">
        <v>395</v>
      </c>
      <c r="G69">
        <v>0.89113924050632909</v>
      </c>
      <c r="H69">
        <v>195732</v>
      </c>
      <c r="I69">
        <v>315000</v>
      </c>
      <c r="J69">
        <v>195732</v>
      </c>
      <c r="K69">
        <v>0.88451503076786597</v>
      </c>
      <c r="L69">
        <f t="shared" ref="L69:M71" ca="1" si="5">E69*0.621371</f>
        <v>218.72259199999999</v>
      </c>
      <c r="M69">
        <f t="shared" si="5"/>
        <v>245.44154499999999</v>
      </c>
      <c r="N69">
        <v>195732</v>
      </c>
      <c r="O69">
        <f t="shared" ca="1" si="4"/>
        <v>0.89113924050632909</v>
      </c>
    </row>
    <row r="70" spans="1:15" x14ac:dyDescent="0.2">
      <c r="A70" t="str">
        <f ca="1">IFERROR(__xludf.DUMMYFUNCTION("""COMPUTED_VALUE"""),"km")</f>
        <v>km</v>
      </c>
      <c r="B70" t="str">
        <f ca="1">IFERROR(__xludf.DUMMYFUNCTION("""COMPUTED_VALUE"""),"Model S 85")</f>
        <v>Model S 85</v>
      </c>
      <c r="D70">
        <f ca="1">IFERROR(__xludf.DUMMYFUNCTION("""COMPUTED_VALUE"""),204360)</f>
        <v>204360</v>
      </c>
      <c r="E70">
        <f ca="1">IFERROR(__xludf.DUMMYFUNCTION("""COMPUTED_VALUE"""),352)</f>
        <v>352</v>
      </c>
      <c r="F70">
        <v>395</v>
      </c>
      <c r="G70">
        <v>0.89113924050632909</v>
      </c>
      <c r="H70">
        <v>126983</v>
      </c>
      <c r="I70">
        <v>204360</v>
      </c>
      <c r="J70">
        <v>126983</v>
      </c>
      <c r="K70">
        <v>0.90038559426211107</v>
      </c>
      <c r="L70">
        <f t="shared" ca="1" si="5"/>
        <v>218.72259199999999</v>
      </c>
      <c r="M70">
        <f t="shared" si="5"/>
        <v>245.44154499999999</v>
      </c>
      <c r="N70">
        <v>126983</v>
      </c>
      <c r="O70">
        <f t="shared" ca="1" si="4"/>
        <v>0.89113924050632909</v>
      </c>
    </row>
    <row r="71" spans="1:15" x14ac:dyDescent="0.2">
      <c r="A71" t="str">
        <f ca="1">IFERROR(__xludf.DUMMYFUNCTION("""COMPUTED_VALUE"""),"km")</f>
        <v>km</v>
      </c>
      <c r="B71" t="str">
        <f ca="1">IFERROR(__xludf.DUMMYFUNCTION("""COMPUTED_VALUE"""),"Model S 90D")</f>
        <v>Model S 90D</v>
      </c>
      <c r="D71">
        <f ca="1">IFERROR(__xludf.DUMMYFUNCTION("""COMPUTED_VALUE"""),188030)</f>
        <v>188030</v>
      </c>
      <c r="E71">
        <f ca="1">IFERROR(__xludf.DUMMYFUNCTION("""COMPUTED_VALUE"""),398.75)</f>
        <v>398.75</v>
      </c>
      <c r="F71">
        <v>447</v>
      </c>
      <c r="G71">
        <v>0.89205816554809847</v>
      </c>
      <c r="H71">
        <v>116836</v>
      </c>
      <c r="I71">
        <v>188030</v>
      </c>
      <c r="J71">
        <v>116836</v>
      </c>
      <c r="K71">
        <v>0.90515397978714551</v>
      </c>
      <c r="L71">
        <f t="shared" ca="1" si="5"/>
        <v>247.77168625000002</v>
      </c>
      <c r="M71">
        <f t="shared" si="5"/>
        <v>277.752837</v>
      </c>
      <c r="N71">
        <v>116836</v>
      </c>
      <c r="O71">
        <f t="shared" ca="1" si="4"/>
        <v>0.89205816554809847</v>
      </c>
    </row>
    <row r="72" spans="1:15" x14ac:dyDescent="0.2">
      <c r="A72" t="str">
        <f ca="1">IFERROR(__xludf.DUMMYFUNCTION("""COMPUTED_VALUE"""),"mi")</f>
        <v>mi</v>
      </c>
      <c r="B72" t="str">
        <f ca="1">IFERROR(__xludf.DUMMYFUNCTION("""COMPUTED_VALUE"""),"Model 3 LR")</f>
        <v>Model 3 LR</v>
      </c>
      <c r="C72">
        <f ca="1">IFERROR(__xludf.DUMMYFUNCTION("""COMPUTED_VALUE"""),310)</f>
        <v>310</v>
      </c>
      <c r="D72">
        <f ca="1">IFERROR(__xludf.DUMMYFUNCTION("""COMPUTED_VALUE"""),124702)</f>
        <v>124702</v>
      </c>
      <c r="E72">
        <f ca="1">IFERROR(__xludf.DUMMYFUNCTION("""COMPUTED_VALUE"""),290)</f>
        <v>290</v>
      </c>
      <c r="F72">
        <v>325</v>
      </c>
      <c r="G72">
        <v>0.89230769230769236</v>
      </c>
      <c r="H72">
        <v>124702</v>
      </c>
      <c r="I72">
        <v>200688</v>
      </c>
      <c r="J72">
        <v>124702</v>
      </c>
      <c r="K72">
        <v>0.9014057698643323</v>
      </c>
      <c r="L72">
        <f ca="1">IFERROR(__xludf.DUMMYFUNCTION("""COMPUTED_VALUE"""),290)</f>
        <v>290</v>
      </c>
      <c r="M72">
        <v>325</v>
      </c>
      <c r="N72">
        <v>124702</v>
      </c>
      <c r="O72">
        <f t="shared" ca="1" si="4"/>
        <v>0.89230769230769236</v>
      </c>
    </row>
    <row r="73" spans="1:15" x14ac:dyDescent="0.2">
      <c r="A73" t="str">
        <f ca="1">IFERROR(__xludf.DUMMYFUNCTION("""COMPUTED_VALUE"""),"km")</f>
        <v>km</v>
      </c>
      <c r="B73" t="str">
        <f ca="1">IFERROR(__xludf.DUMMYFUNCTION("""COMPUTED_VALUE"""),"Model S 85")</f>
        <v>Model S 85</v>
      </c>
      <c r="D73">
        <f ca="1">IFERROR(__xludf.DUMMYFUNCTION("""COMPUTED_VALUE"""),147433)</f>
        <v>147433</v>
      </c>
      <c r="E73">
        <f ca="1">IFERROR(__xludf.DUMMYFUNCTION("""COMPUTED_VALUE"""),382)</f>
        <v>382</v>
      </c>
      <c r="F73">
        <v>428</v>
      </c>
      <c r="G73">
        <v>0.89252336448598135</v>
      </c>
      <c r="H73">
        <v>91611</v>
      </c>
      <c r="I73">
        <v>147433</v>
      </c>
      <c r="J73">
        <v>91611</v>
      </c>
      <c r="K73">
        <v>0.91954515153636429</v>
      </c>
      <c r="L73">
        <f t="shared" ref="L73:M76" ca="1" si="6">E73*0.621371</f>
        <v>237.363722</v>
      </c>
      <c r="M73">
        <f t="shared" si="6"/>
        <v>265.94678800000003</v>
      </c>
      <c r="N73">
        <v>91611</v>
      </c>
      <c r="O73">
        <f t="shared" ca="1" si="4"/>
        <v>0.89252336448598124</v>
      </c>
    </row>
    <row r="74" spans="1:15" x14ac:dyDescent="0.2">
      <c r="A74" t="str">
        <f ca="1">IFERROR(__xludf.DUMMYFUNCTION("""COMPUTED_VALUE"""),"km")</f>
        <v>km</v>
      </c>
      <c r="B74" t="str">
        <f ca="1">IFERROR(__xludf.DUMMYFUNCTION("""COMPUTED_VALUE"""),"Model S 90D")</f>
        <v>Model S 90D</v>
      </c>
      <c r="D74">
        <f ca="1">IFERROR(__xludf.DUMMYFUNCTION("""COMPUTED_VALUE"""),152009)</f>
        <v>152009</v>
      </c>
      <c r="E74">
        <f ca="1">IFERROR(__xludf.DUMMYFUNCTION("""COMPUTED_VALUE"""),399)</f>
        <v>399</v>
      </c>
      <c r="F74">
        <v>447</v>
      </c>
      <c r="G74">
        <v>0.89261744966442957</v>
      </c>
      <c r="H74">
        <v>94454</v>
      </c>
      <c r="I74">
        <v>152009</v>
      </c>
      <c r="J74">
        <v>94454</v>
      </c>
      <c r="K74">
        <v>0.91774563710120027</v>
      </c>
      <c r="L74">
        <f t="shared" ca="1" si="6"/>
        <v>247.927029</v>
      </c>
      <c r="M74">
        <f t="shared" si="6"/>
        <v>277.752837</v>
      </c>
      <c r="N74">
        <v>94454</v>
      </c>
      <c r="O74">
        <f t="shared" ca="1" si="4"/>
        <v>0.89261744966442957</v>
      </c>
    </row>
    <row r="75" spans="1:15" x14ac:dyDescent="0.2">
      <c r="A75" t="str">
        <f ca="1">IFERROR(__xludf.DUMMYFUNCTION("""COMPUTED_VALUE"""),"km")</f>
        <v>km</v>
      </c>
      <c r="B75" t="str">
        <f ca="1">IFERROR(__xludf.DUMMYFUNCTION("""COMPUTED_VALUE"""),"Model S 90D")</f>
        <v>Model S 90D</v>
      </c>
      <c r="D75">
        <f ca="1">IFERROR(__xludf.DUMMYFUNCTION("""COMPUTED_VALUE"""),168946)</f>
        <v>168946</v>
      </c>
      <c r="E75">
        <f ca="1">IFERROR(__xludf.DUMMYFUNCTION("""COMPUTED_VALUE"""),399)</f>
        <v>399</v>
      </c>
      <c r="F75">
        <v>447</v>
      </c>
      <c r="G75">
        <v>0.89261744966442957</v>
      </c>
      <c r="H75">
        <v>104978</v>
      </c>
      <c r="I75">
        <v>168946</v>
      </c>
      <c r="J75">
        <v>104978</v>
      </c>
      <c r="K75">
        <v>0.91147440763282428</v>
      </c>
      <c r="L75">
        <f t="shared" ca="1" si="6"/>
        <v>247.927029</v>
      </c>
      <c r="M75">
        <f t="shared" si="6"/>
        <v>277.752837</v>
      </c>
      <c r="N75">
        <v>104978</v>
      </c>
      <c r="O75">
        <f t="shared" ca="1" si="4"/>
        <v>0.89261744966442957</v>
      </c>
    </row>
    <row r="76" spans="1:15" x14ac:dyDescent="0.2">
      <c r="A76" t="str">
        <f ca="1">IFERROR(__xludf.DUMMYFUNCTION("""COMPUTED_VALUE"""),"km")</f>
        <v>km</v>
      </c>
      <c r="B76" t="str">
        <f ca="1">IFERROR(__xludf.DUMMYFUNCTION("""COMPUTED_VALUE"""),"Model S 85")</f>
        <v>Model S 85</v>
      </c>
      <c r="D76">
        <f ca="1">IFERROR(__xludf.DUMMYFUNCTION("""COMPUTED_VALUE"""),249000)</f>
        <v>249000</v>
      </c>
      <c r="E76">
        <f ca="1">IFERROR(__xludf.DUMMYFUNCTION("""COMPUTED_VALUE"""),353)</f>
        <v>353</v>
      </c>
      <c r="F76">
        <v>395</v>
      </c>
      <c r="G76">
        <v>0.89367088607594936</v>
      </c>
      <c r="H76">
        <v>154721</v>
      </c>
      <c r="I76">
        <v>249000</v>
      </c>
      <c r="J76">
        <v>154721</v>
      </c>
      <c r="K76">
        <v>0.8904552854166522</v>
      </c>
      <c r="L76">
        <f t="shared" ca="1" si="6"/>
        <v>219.343963</v>
      </c>
      <c r="M76">
        <f t="shared" si="6"/>
        <v>245.44154499999999</v>
      </c>
      <c r="N76">
        <v>154721</v>
      </c>
      <c r="O76">
        <f t="shared" ca="1" si="4"/>
        <v>0.89367088607594936</v>
      </c>
    </row>
    <row r="77" spans="1:15" x14ac:dyDescent="0.2">
      <c r="A77" t="str">
        <f ca="1">IFERROR(__xludf.DUMMYFUNCTION("""COMPUTED_VALUE"""),"mi")</f>
        <v>mi</v>
      </c>
      <c r="B77" t="str">
        <f ca="1">IFERROR(__xludf.DUMMYFUNCTION("""COMPUTED_VALUE"""),"Model S 60")</f>
        <v>Model S 60</v>
      </c>
      <c r="D77">
        <f ca="1">IFERROR(__xludf.DUMMYFUNCTION("""COMPUTED_VALUE"""),31000)</f>
        <v>31000</v>
      </c>
      <c r="E77">
        <f ca="1">IFERROR(__xludf.DUMMYFUNCTION("""COMPUTED_VALUE"""),185)</f>
        <v>185</v>
      </c>
      <c r="F77">
        <v>207</v>
      </c>
      <c r="G77">
        <v>0.893719806763285</v>
      </c>
      <c r="H77">
        <v>31000</v>
      </c>
      <c r="I77">
        <v>49890</v>
      </c>
      <c r="J77">
        <v>31000</v>
      </c>
      <c r="K77">
        <v>0.96808005690588939</v>
      </c>
      <c r="L77">
        <f ca="1">IFERROR(__xludf.DUMMYFUNCTION("""COMPUTED_VALUE"""),185)</f>
        <v>185</v>
      </c>
      <c r="M77">
        <v>207</v>
      </c>
      <c r="N77">
        <v>31000</v>
      </c>
      <c r="O77">
        <f t="shared" ca="1" si="4"/>
        <v>0.893719806763285</v>
      </c>
    </row>
    <row r="78" spans="1:15" x14ac:dyDescent="0.2">
      <c r="A78" t="str">
        <f ca="1">IFERROR(__xludf.DUMMYFUNCTION("""COMPUTED_VALUE"""),"mi")</f>
        <v>mi</v>
      </c>
      <c r="B78" t="str">
        <f ca="1">IFERROR(__xludf.DUMMYFUNCTION("""COMPUTED_VALUE"""),"Model S 85")</f>
        <v>Model S 85</v>
      </c>
      <c r="D78">
        <f ca="1">IFERROR(__xludf.DUMMYFUNCTION("""COMPUTED_VALUE"""),102409)</f>
        <v>102409</v>
      </c>
      <c r="E78">
        <f ca="1">IFERROR(__xludf.DUMMYFUNCTION("""COMPUTED_VALUE"""),219)</f>
        <v>219</v>
      </c>
      <c r="F78">
        <v>245</v>
      </c>
      <c r="G78">
        <v>0.89387755102040811</v>
      </c>
      <c r="H78">
        <v>102409</v>
      </c>
      <c r="I78">
        <v>164811</v>
      </c>
      <c r="J78">
        <v>102409</v>
      </c>
      <c r="K78">
        <v>0.91294854081726284</v>
      </c>
      <c r="L78">
        <f ca="1">IFERROR(__xludf.DUMMYFUNCTION("""COMPUTED_VALUE"""),219)</f>
        <v>219</v>
      </c>
      <c r="M78">
        <v>245</v>
      </c>
      <c r="N78">
        <v>102409</v>
      </c>
      <c r="O78">
        <f t="shared" ca="1" si="4"/>
        <v>0.89387755102040811</v>
      </c>
    </row>
    <row r="79" spans="1:15" x14ac:dyDescent="0.2">
      <c r="A79" t="str">
        <f ca="1">IFERROR(__xludf.DUMMYFUNCTION("""COMPUTED_VALUE"""),"mi")</f>
        <v>mi</v>
      </c>
      <c r="B79" t="str">
        <f ca="1">IFERROR(__xludf.DUMMYFUNCTION("""COMPUTED_VALUE"""),"Model 3 LR")</f>
        <v>Model 3 LR</v>
      </c>
      <c r="C79">
        <f ca="1">IFERROR(__xludf.DUMMYFUNCTION("""COMPUTED_VALUE"""),310)</f>
        <v>310</v>
      </c>
      <c r="D79">
        <f ca="1">IFERROR(__xludf.DUMMYFUNCTION("""COMPUTED_VALUE"""),202403)</f>
        <v>202403</v>
      </c>
      <c r="E79">
        <f ca="1">IFERROR(__xludf.DUMMYFUNCTION("""COMPUTED_VALUE"""),290.6)</f>
        <v>290.60000000000002</v>
      </c>
      <c r="F79">
        <v>325</v>
      </c>
      <c r="G79">
        <v>0.89415384615384619</v>
      </c>
      <c r="H79">
        <v>202403</v>
      </c>
      <c r="I79">
        <v>325736</v>
      </c>
      <c r="J79">
        <v>202403</v>
      </c>
      <c r="K79">
        <v>0.88458118630943106</v>
      </c>
      <c r="L79">
        <f ca="1">IFERROR(__xludf.DUMMYFUNCTION("""COMPUTED_VALUE"""),290.6)</f>
        <v>290.60000000000002</v>
      </c>
      <c r="M79">
        <v>325</v>
      </c>
      <c r="N79">
        <v>202403</v>
      </c>
      <c r="O79">
        <f t="shared" ca="1" si="4"/>
        <v>0.89415384615384619</v>
      </c>
    </row>
    <row r="80" spans="1:15" x14ac:dyDescent="0.2">
      <c r="A80" t="str">
        <f ca="1">IFERROR(__xludf.DUMMYFUNCTION("""COMPUTED_VALUE"""),"mi")</f>
        <v>mi</v>
      </c>
      <c r="B80" t="str">
        <f ca="1">IFERROR(__xludf.DUMMYFUNCTION("""COMPUTED_VALUE"""),"Model S 75")</f>
        <v>Model S 75</v>
      </c>
      <c r="C80">
        <f ca="1">IFERROR(__xludf.DUMMYFUNCTION("""COMPUTED_VALUE"""),249)</f>
        <v>249</v>
      </c>
      <c r="D80">
        <f ca="1">IFERROR(__xludf.DUMMYFUNCTION("""COMPUTED_VALUE"""),55700)</f>
        <v>55700</v>
      </c>
      <c r="E80">
        <f ca="1">IFERROR(__xludf.DUMMYFUNCTION("""COMPUTED_VALUE"""),220)</f>
        <v>220</v>
      </c>
      <c r="F80">
        <v>246</v>
      </c>
      <c r="G80">
        <v>0.89430894308943087</v>
      </c>
      <c r="H80">
        <v>55700</v>
      </c>
      <c r="I80">
        <v>89640</v>
      </c>
      <c r="J80">
        <v>55700</v>
      </c>
      <c r="K80">
        <v>0.94600956536473468</v>
      </c>
      <c r="L80">
        <f ca="1">IFERROR(__xludf.DUMMYFUNCTION("""COMPUTED_VALUE"""),220)</f>
        <v>220</v>
      </c>
      <c r="M80">
        <v>246</v>
      </c>
      <c r="N80">
        <v>55700</v>
      </c>
      <c r="O80">
        <f t="shared" ca="1" si="4"/>
        <v>0.89430894308943087</v>
      </c>
    </row>
    <row r="81" spans="1:15" x14ac:dyDescent="0.2">
      <c r="A81" t="str">
        <f ca="1">IFERROR(__xludf.DUMMYFUNCTION("""COMPUTED_VALUE"""),"mi")</f>
        <v>mi</v>
      </c>
      <c r="B81" t="str">
        <f ca="1">IFERROR(__xludf.DUMMYFUNCTION("""COMPUTED_VALUE"""),"Model S 85")</f>
        <v>Model S 85</v>
      </c>
      <c r="C81">
        <f ca="1">IFERROR(__xludf.DUMMYFUNCTION("""COMPUTED_VALUE"""),265)</f>
        <v>265</v>
      </c>
      <c r="D81">
        <f ca="1">IFERROR(__xludf.DUMMYFUNCTION("""COMPUTED_VALUE"""),178590)</f>
        <v>178590</v>
      </c>
      <c r="E81">
        <f ca="1">IFERROR(__xludf.DUMMYFUNCTION("""COMPUTED_VALUE"""),238)</f>
        <v>238</v>
      </c>
      <c r="F81">
        <v>266</v>
      </c>
      <c r="G81">
        <v>0.89473684210526316</v>
      </c>
      <c r="H81">
        <v>178590</v>
      </c>
      <c r="I81">
        <v>287413</v>
      </c>
      <c r="J81">
        <v>178590</v>
      </c>
      <c r="K81">
        <v>0.88568915628665068</v>
      </c>
      <c r="L81">
        <f ca="1">IFERROR(__xludf.DUMMYFUNCTION("""COMPUTED_VALUE"""),238)</f>
        <v>238</v>
      </c>
      <c r="M81">
        <v>266</v>
      </c>
      <c r="N81">
        <v>178590</v>
      </c>
      <c r="O81">
        <f t="shared" ca="1" si="4"/>
        <v>0.89473684210526316</v>
      </c>
    </row>
    <row r="82" spans="1:15" x14ac:dyDescent="0.2">
      <c r="A82" t="str">
        <f ca="1">IFERROR(__xludf.DUMMYFUNCTION("""COMPUTED_VALUE"""),"mi")</f>
        <v>mi</v>
      </c>
      <c r="B82" t="str">
        <f ca="1">IFERROR(__xludf.DUMMYFUNCTION("""COMPUTED_VALUE"""),"Model S P85")</f>
        <v>Model S P85</v>
      </c>
      <c r="D82">
        <f ca="1">IFERROR(__xludf.DUMMYFUNCTION("""COMPUTED_VALUE"""),85000)</f>
        <v>85000</v>
      </c>
      <c r="E82">
        <f ca="1">IFERROR(__xludf.DUMMYFUNCTION("""COMPUTED_VALUE"""),238)</f>
        <v>238</v>
      </c>
      <c r="F82">
        <v>266</v>
      </c>
      <c r="G82">
        <v>0.89473684210526316</v>
      </c>
      <c r="H82">
        <v>85000</v>
      </c>
      <c r="I82">
        <v>136794</v>
      </c>
      <c r="J82">
        <v>85000</v>
      </c>
      <c r="K82">
        <v>0.92389978087097546</v>
      </c>
      <c r="L82">
        <f ca="1">IFERROR(__xludf.DUMMYFUNCTION("""COMPUTED_VALUE"""),238)</f>
        <v>238</v>
      </c>
      <c r="M82">
        <v>266</v>
      </c>
      <c r="N82">
        <v>85000</v>
      </c>
      <c r="O82">
        <f t="shared" ca="1" si="4"/>
        <v>0.89473684210526316</v>
      </c>
    </row>
    <row r="83" spans="1:15" x14ac:dyDescent="0.2">
      <c r="A83" t="str">
        <f ca="1">IFERROR(__xludf.DUMMYFUNCTION("""COMPUTED_VALUE"""),"km")</f>
        <v>km</v>
      </c>
      <c r="B83" t="str">
        <f ca="1">IFERROR(__xludf.DUMMYFUNCTION("""COMPUTED_VALUE"""),"Model S 90D")</f>
        <v>Model S 90D</v>
      </c>
      <c r="D83">
        <f ca="1">IFERROR(__xludf.DUMMYFUNCTION("""COMPUTED_VALUE"""),201400)</f>
        <v>201400</v>
      </c>
      <c r="E83">
        <f ca="1">IFERROR(__xludf.DUMMYFUNCTION("""COMPUTED_VALUE"""),400)</f>
        <v>400</v>
      </c>
      <c r="F83">
        <v>447</v>
      </c>
      <c r="G83">
        <v>0.89485458612975388</v>
      </c>
      <c r="H83">
        <v>125144</v>
      </c>
      <c r="I83">
        <v>201400</v>
      </c>
      <c r="J83">
        <v>125144</v>
      </c>
      <c r="K83">
        <v>0.90120558582591137</v>
      </c>
      <c r="L83">
        <f t="shared" ref="L83:M85" ca="1" si="7">E83*0.621371</f>
        <v>248.54840000000002</v>
      </c>
      <c r="M83">
        <f t="shared" si="7"/>
        <v>277.752837</v>
      </c>
      <c r="N83">
        <v>125144</v>
      </c>
      <c r="O83">
        <f t="shared" ca="1" si="4"/>
        <v>0.89485458612975399</v>
      </c>
    </row>
    <row r="84" spans="1:15" x14ac:dyDescent="0.2">
      <c r="A84" t="str">
        <f ca="1">IFERROR(__xludf.DUMMYFUNCTION("""COMPUTED_VALUE"""),"km")</f>
        <v>km</v>
      </c>
      <c r="B84" t="str">
        <f ca="1">IFERROR(__xludf.DUMMYFUNCTION("""COMPUTED_VALUE"""),"Model S 60")</f>
        <v>Model S 60</v>
      </c>
      <c r="C84">
        <f ca="1">IFERROR(__xludf.DUMMYFUNCTION("""COMPUTED_VALUE"""),335)</f>
        <v>335</v>
      </c>
      <c r="D84">
        <f ca="1">IFERROR(__xludf.DUMMYFUNCTION("""COMPUTED_VALUE"""),92242)</f>
        <v>92242</v>
      </c>
      <c r="E84">
        <f ca="1">IFERROR(__xludf.DUMMYFUNCTION("""COMPUTED_VALUE"""),298)</f>
        <v>298</v>
      </c>
      <c r="F84">
        <v>333</v>
      </c>
      <c r="G84">
        <v>0.89489489489489493</v>
      </c>
      <c r="H84">
        <v>57317</v>
      </c>
      <c r="I84">
        <v>92242</v>
      </c>
      <c r="J84">
        <v>57317</v>
      </c>
      <c r="K84">
        <v>0.94467249909428497</v>
      </c>
      <c r="L84">
        <f t="shared" ca="1" si="7"/>
        <v>185.16855799999999</v>
      </c>
      <c r="M84">
        <f t="shared" si="7"/>
        <v>206.91654299999999</v>
      </c>
      <c r="N84">
        <v>57317</v>
      </c>
      <c r="O84">
        <f t="shared" ca="1" si="4"/>
        <v>0.89489489489489493</v>
      </c>
    </row>
    <row r="85" spans="1:15" x14ac:dyDescent="0.2">
      <c r="A85" t="str">
        <f ca="1">IFERROR(__xludf.DUMMYFUNCTION("""COMPUTED_VALUE"""),"km")</f>
        <v>km</v>
      </c>
      <c r="B85" t="str">
        <f ca="1">IFERROR(__xludf.DUMMYFUNCTION("""COMPUTED_VALUE"""),"Model 3 SR+")</f>
        <v>Model 3 SR+</v>
      </c>
      <c r="C85">
        <f ca="1">IFERROR(__xludf.DUMMYFUNCTION("""COMPUTED_VALUE"""),381)</f>
        <v>381</v>
      </c>
      <c r="D85">
        <f ca="1">IFERROR(__xludf.DUMMYFUNCTION("""COMPUTED_VALUE"""),125000)</f>
        <v>125000</v>
      </c>
      <c r="E85">
        <f ca="1">IFERROR(__xludf.DUMMYFUNCTION("""COMPUTED_VALUE"""),341)</f>
        <v>341</v>
      </c>
      <c r="F85">
        <v>381</v>
      </c>
      <c r="G85">
        <v>0.89501312335958005</v>
      </c>
      <c r="H85">
        <v>77671</v>
      </c>
      <c r="I85">
        <v>125000</v>
      </c>
      <c r="J85">
        <v>77671</v>
      </c>
      <c r="K85">
        <v>0.92900355051766637</v>
      </c>
      <c r="L85">
        <f t="shared" ca="1" si="7"/>
        <v>211.88751099999999</v>
      </c>
      <c r="M85">
        <f t="shared" si="7"/>
        <v>236.74235100000001</v>
      </c>
      <c r="N85">
        <v>77671</v>
      </c>
      <c r="O85">
        <f t="shared" ca="1" si="4"/>
        <v>0.89501312335957994</v>
      </c>
    </row>
    <row r="86" spans="1:15" x14ac:dyDescent="0.2">
      <c r="A86" t="str">
        <f ca="1">IFERROR(__xludf.DUMMYFUNCTION("""COMPUTED_VALUE"""),"mi")</f>
        <v>mi</v>
      </c>
      <c r="B86" t="str">
        <f ca="1">IFERROR(__xludf.DUMMYFUNCTION("""COMPUTED_VALUE"""),"Model 3 LR")</f>
        <v>Model 3 LR</v>
      </c>
      <c r="C86">
        <f ca="1">IFERROR(__xludf.DUMMYFUNCTION("""COMPUTED_VALUE"""),310)</f>
        <v>310</v>
      </c>
      <c r="D86">
        <f ca="1">IFERROR(__xludf.DUMMYFUNCTION("""COMPUTED_VALUE"""),67244)</f>
        <v>67244</v>
      </c>
      <c r="E86">
        <f ca="1">IFERROR(__xludf.DUMMYFUNCTION("""COMPUTED_VALUE"""),291)</f>
        <v>291</v>
      </c>
      <c r="F86">
        <v>325</v>
      </c>
      <c r="G86">
        <v>0.89538461538461533</v>
      </c>
      <c r="H86">
        <v>67244</v>
      </c>
      <c r="I86">
        <v>108219</v>
      </c>
      <c r="J86">
        <v>67244</v>
      </c>
      <c r="K86">
        <v>0.93675896409138526</v>
      </c>
      <c r="L86">
        <f ca="1">IFERROR(__xludf.DUMMYFUNCTION("""COMPUTED_VALUE"""),291)</f>
        <v>291</v>
      </c>
      <c r="M86">
        <v>325</v>
      </c>
      <c r="N86">
        <v>67244</v>
      </c>
      <c r="O86">
        <f t="shared" ca="1" si="4"/>
        <v>0.89538461538461533</v>
      </c>
    </row>
    <row r="87" spans="1:15" x14ac:dyDescent="0.2">
      <c r="A87" t="str">
        <f ca="1">IFERROR(__xludf.DUMMYFUNCTION("""COMPUTED_VALUE"""),"mi")</f>
        <v>mi</v>
      </c>
      <c r="B87" t="str">
        <f ca="1">IFERROR(__xludf.DUMMYFUNCTION("""COMPUTED_VALUE"""),"Model S 75D")</f>
        <v>Model S 75D</v>
      </c>
      <c r="D87">
        <f ca="1">IFERROR(__xludf.DUMMYFUNCTION("""COMPUTED_VALUE"""),61000)</f>
        <v>61000</v>
      </c>
      <c r="E87">
        <f ca="1">IFERROR(__xludf.DUMMYFUNCTION("""COMPUTED_VALUE"""),232)</f>
        <v>232</v>
      </c>
      <c r="F87">
        <v>259</v>
      </c>
      <c r="G87">
        <v>0.89575289575289574</v>
      </c>
      <c r="H87">
        <v>61000</v>
      </c>
      <c r="I87">
        <v>98170</v>
      </c>
      <c r="J87">
        <v>61000</v>
      </c>
      <c r="K87">
        <v>0.94167663427047155</v>
      </c>
      <c r="L87">
        <f ca="1">IFERROR(__xludf.DUMMYFUNCTION("""COMPUTED_VALUE"""),232)</f>
        <v>232</v>
      </c>
      <c r="M87">
        <v>259</v>
      </c>
      <c r="N87">
        <v>61000</v>
      </c>
      <c r="O87">
        <f t="shared" ca="1" si="4"/>
        <v>0.89575289575289574</v>
      </c>
    </row>
    <row r="88" spans="1:15" x14ac:dyDescent="0.2">
      <c r="A88" t="str">
        <f ca="1">IFERROR(__xludf.DUMMYFUNCTION("""COMPUTED_VALUE"""),"km")</f>
        <v>km</v>
      </c>
      <c r="B88" t="str">
        <f ca="1">IFERROR(__xludf.DUMMYFUNCTION("""COMPUTED_VALUE"""),"Model 3 P")</f>
        <v>Model 3 P</v>
      </c>
      <c r="C88">
        <f ca="1">IFERROR(__xludf.DUMMYFUNCTION("""COMPUTED_VALUE"""),502)</f>
        <v>502</v>
      </c>
      <c r="D88">
        <f ca="1">IFERROR(__xludf.DUMMYFUNCTION("""COMPUTED_VALUE"""),73000)</f>
        <v>73000</v>
      </c>
      <c r="E88">
        <f ca="1">IFERROR(__xludf.DUMMYFUNCTION("""COMPUTED_VALUE"""),447)</f>
        <v>447</v>
      </c>
      <c r="F88">
        <v>499</v>
      </c>
      <c r="G88">
        <v>0.89579158316633267</v>
      </c>
      <c r="H88">
        <v>45360</v>
      </c>
      <c r="I88">
        <v>73000</v>
      </c>
      <c r="J88">
        <v>45360</v>
      </c>
      <c r="K88">
        <v>0.95487571843246866</v>
      </c>
      <c r="L88">
        <f t="shared" ref="L88:M91" ca="1" si="8">E88*0.621371</f>
        <v>277.752837</v>
      </c>
      <c r="M88">
        <f t="shared" si="8"/>
        <v>310.06412899999998</v>
      </c>
      <c r="N88">
        <v>45360</v>
      </c>
      <c r="O88">
        <f t="shared" ca="1" si="4"/>
        <v>0.89579158316633267</v>
      </c>
    </row>
    <row r="89" spans="1:15" x14ac:dyDescent="0.2">
      <c r="A89" t="str">
        <f ca="1">IFERROR(__xludf.DUMMYFUNCTION("""COMPUTED_VALUE"""),"km")</f>
        <v>km</v>
      </c>
      <c r="B89" t="str">
        <f ca="1">IFERROR(__xludf.DUMMYFUNCTION("""COMPUTED_VALUE"""),"Model 3 LR AWD")</f>
        <v>Model 3 LR AWD</v>
      </c>
      <c r="D89">
        <f ca="1">IFERROR(__xludf.DUMMYFUNCTION("""COMPUTED_VALUE"""),54047)</f>
        <v>54047</v>
      </c>
      <c r="E89">
        <f ca="1">IFERROR(__xludf.DUMMYFUNCTION("""COMPUTED_VALUE"""),447)</f>
        <v>447</v>
      </c>
      <c r="F89">
        <v>499</v>
      </c>
      <c r="G89">
        <v>0.89579158316633267</v>
      </c>
      <c r="H89">
        <v>33583</v>
      </c>
      <c r="I89">
        <v>54047</v>
      </c>
      <c r="J89">
        <v>33583</v>
      </c>
      <c r="K89">
        <v>0.96562949621165117</v>
      </c>
      <c r="L89">
        <f t="shared" ca="1" si="8"/>
        <v>277.752837</v>
      </c>
      <c r="M89">
        <f t="shared" si="8"/>
        <v>310.06412899999998</v>
      </c>
      <c r="N89">
        <v>33583</v>
      </c>
      <c r="O89">
        <f t="shared" ca="1" si="4"/>
        <v>0.89579158316633267</v>
      </c>
    </row>
    <row r="90" spans="1:15" x14ac:dyDescent="0.2">
      <c r="A90" t="str">
        <f ca="1">IFERROR(__xludf.DUMMYFUNCTION("""COMPUTED_VALUE"""),"km")</f>
        <v>km</v>
      </c>
      <c r="B90" t="str">
        <f ca="1">IFERROR(__xludf.DUMMYFUNCTION("""COMPUTED_VALUE"""),"Model S 75")</f>
        <v>Model S 75</v>
      </c>
      <c r="C90">
        <f ca="1">IFERROR(__xludf.DUMMYFUNCTION("""COMPUTED_VALUE"""),374)</f>
        <v>374</v>
      </c>
      <c r="D90">
        <f ca="1">IFERROR(__xludf.DUMMYFUNCTION("""COMPUTED_VALUE"""),119156)</f>
        <v>119156</v>
      </c>
      <c r="E90">
        <f ca="1">IFERROR(__xludf.DUMMYFUNCTION("""COMPUTED_VALUE"""),336)</f>
        <v>336</v>
      </c>
      <c r="F90">
        <v>375</v>
      </c>
      <c r="G90">
        <v>0.89600000000000002</v>
      </c>
      <c r="H90">
        <v>74040</v>
      </c>
      <c r="I90">
        <v>119156</v>
      </c>
      <c r="J90">
        <v>74040</v>
      </c>
      <c r="K90">
        <v>0.93163903264883707</v>
      </c>
      <c r="L90">
        <f t="shared" ca="1" si="8"/>
        <v>208.78065599999999</v>
      </c>
      <c r="M90">
        <f t="shared" si="8"/>
        <v>233.01412500000001</v>
      </c>
      <c r="N90">
        <v>74040</v>
      </c>
      <c r="O90">
        <f t="shared" ca="1" si="4"/>
        <v>0.89599999999999991</v>
      </c>
    </row>
    <row r="91" spans="1:15" x14ac:dyDescent="0.2">
      <c r="A91" t="str">
        <f ca="1">IFERROR(__xludf.DUMMYFUNCTION("""COMPUTED_VALUE"""),"km")</f>
        <v>km</v>
      </c>
      <c r="B91" t="str">
        <f ca="1">IFERROR(__xludf.DUMMYFUNCTION("""COMPUTED_VALUE"""),"Model S P85")</f>
        <v>Model S P85</v>
      </c>
      <c r="C91">
        <f ca="1">IFERROR(__xludf.DUMMYFUNCTION("""COMPUTED_VALUE"""),400)</f>
        <v>400</v>
      </c>
      <c r="D91">
        <f ca="1">IFERROR(__xludf.DUMMYFUNCTION("""COMPUTED_VALUE"""),375000)</f>
        <v>375000</v>
      </c>
      <c r="E91">
        <f ca="1">IFERROR(__xludf.DUMMYFUNCTION("""COMPUTED_VALUE"""),354)</f>
        <v>354</v>
      </c>
      <c r="F91">
        <v>395</v>
      </c>
      <c r="G91">
        <v>0.89620253164556962</v>
      </c>
      <c r="H91">
        <v>233014</v>
      </c>
      <c r="I91">
        <v>375000</v>
      </c>
      <c r="J91">
        <v>233014</v>
      </c>
      <c r="K91">
        <v>0.88876964736177211</v>
      </c>
      <c r="L91">
        <f t="shared" ca="1" si="8"/>
        <v>219.96533400000001</v>
      </c>
      <c r="M91">
        <f t="shared" si="8"/>
        <v>245.44154499999999</v>
      </c>
      <c r="N91">
        <v>233014</v>
      </c>
      <c r="O91">
        <f t="shared" ca="1" si="4"/>
        <v>0.89620253164556973</v>
      </c>
    </row>
    <row r="92" spans="1:15" x14ac:dyDescent="0.2">
      <c r="A92" t="str">
        <f ca="1">IFERROR(__xludf.DUMMYFUNCTION("""COMPUTED_VALUE"""),"mi")</f>
        <v>mi</v>
      </c>
      <c r="B92" t="str">
        <f ca="1">IFERROR(__xludf.DUMMYFUNCTION("""COMPUTED_VALUE"""),"Model 3 LR AWD")</f>
        <v>Model 3 LR AWD</v>
      </c>
      <c r="C92">
        <f ca="1">IFERROR(__xludf.DUMMYFUNCTION("""COMPUTED_VALUE"""),310)</f>
        <v>310</v>
      </c>
      <c r="D92">
        <f ca="1">IFERROR(__xludf.DUMMYFUNCTION("""COMPUTED_VALUE"""),97121)</f>
        <v>97121</v>
      </c>
      <c r="E92">
        <f ca="1">IFERROR(__xludf.DUMMYFUNCTION("""COMPUTED_VALUE"""),278)</f>
        <v>278</v>
      </c>
      <c r="F92">
        <v>310</v>
      </c>
      <c r="G92">
        <v>0.89677419354838706</v>
      </c>
      <c r="H92">
        <v>97121</v>
      </c>
      <c r="I92">
        <v>156301</v>
      </c>
      <c r="J92">
        <v>97121</v>
      </c>
      <c r="K92">
        <v>0.91609827258730736</v>
      </c>
      <c r="L92">
        <f ca="1">IFERROR(__xludf.DUMMYFUNCTION("""COMPUTED_VALUE"""),278)</f>
        <v>278</v>
      </c>
      <c r="M92">
        <v>310</v>
      </c>
      <c r="N92">
        <v>97121</v>
      </c>
      <c r="O92">
        <f t="shared" ca="1" si="4"/>
        <v>0.89677419354838706</v>
      </c>
    </row>
    <row r="93" spans="1:15" x14ac:dyDescent="0.2">
      <c r="A93" t="str">
        <f ca="1">IFERROR(__xludf.DUMMYFUNCTION("""COMPUTED_VALUE"""),"mi")</f>
        <v>mi</v>
      </c>
      <c r="B93" t="str">
        <f ca="1">IFERROR(__xludf.DUMMYFUNCTION("""COMPUTED_VALUE"""),"Model 3 P")</f>
        <v>Model 3 P</v>
      </c>
      <c r="C93">
        <f ca="1">IFERROR(__xludf.DUMMYFUNCTION("""COMPUTED_VALUE"""),311)</f>
        <v>311</v>
      </c>
      <c r="D93">
        <f ca="1">IFERROR(__xludf.DUMMYFUNCTION("""COMPUTED_VALUE"""),48390)</f>
        <v>48390</v>
      </c>
      <c r="E93">
        <f ca="1">IFERROR(__xludf.DUMMYFUNCTION("""COMPUTED_VALUE"""),278)</f>
        <v>278</v>
      </c>
      <c r="F93">
        <v>310</v>
      </c>
      <c r="G93">
        <v>0.89677419354838706</v>
      </c>
      <c r="H93">
        <v>48390</v>
      </c>
      <c r="I93">
        <v>77876</v>
      </c>
      <c r="J93">
        <v>48390</v>
      </c>
      <c r="K93">
        <v>0.95222146375791472</v>
      </c>
      <c r="L93">
        <f ca="1">IFERROR(__xludf.DUMMYFUNCTION("""COMPUTED_VALUE"""),278)</f>
        <v>278</v>
      </c>
      <c r="M93">
        <v>310</v>
      </c>
      <c r="N93">
        <v>48390</v>
      </c>
      <c r="O93">
        <f t="shared" ca="1" si="4"/>
        <v>0.89677419354838706</v>
      </c>
    </row>
    <row r="94" spans="1:15" x14ac:dyDescent="0.2">
      <c r="A94" t="str">
        <f ca="1">IFERROR(__xludf.DUMMYFUNCTION("""COMPUTED_VALUE"""),"km")</f>
        <v>km</v>
      </c>
      <c r="B94" t="str">
        <f ca="1">IFERROR(__xludf.DUMMYFUNCTION("""COMPUTED_VALUE"""),"Model S 90D")</f>
        <v>Model S 90D</v>
      </c>
      <c r="D94">
        <f ca="1">IFERROR(__xludf.DUMMYFUNCTION("""COMPUTED_VALUE"""),176666)</f>
        <v>176666</v>
      </c>
      <c r="E94">
        <f ca="1">IFERROR(__xludf.DUMMYFUNCTION("""COMPUTED_VALUE"""),401.25)</f>
        <v>401.25</v>
      </c>
      <c r="F94">
        <v>447</v>
      </c>
      <c r="G94">
        <v>0.8976510067114094</v>
      </c>
      <c r="H94">
        <v>109775</v>
      </c>
      <c r="I94">
        <v>176666</v>
      </c>
      <c r="J94">
        <v>109775</v>
      </c>
      <c r="K94">
        <v>0.90882155601581416</v>
      </c>
      <c r="L94">
        <f t="shared" ref="L94:M97" ca="1" si="9">E94*0.621371</f>
        <v>249.32511375000001</v>
      </c>
      <c r="M94">
        <f t="shared" si="9"/>
        <v>277.752837</v>
      </c>
      <c r="N94">
        <v>109775</v>
      </c>
      <c r="O94">
        <f t="shared" ca="1" si="4"/>
        <v>0.8976510067114094</v>
      </c>
    </row>
    <row r="95" spans="1:15" x14ac:dyDescent="0.2">
      <c r="A95" t="str">
        <f ca="1">IFERROR(__xludf.DUMMYFUNCTION("""COMPUTED_VALUE"""),"km")</f>
        <v>km</v>
      </c>
      <c r="B95" t="str">
        <f ca="1">IFERROR(__xludf.DUMMYFUNCTION("""COMPUTED_VALUE"""),"Model S 90D")</f>
        <v>Model S 90D</v>
      </c>
      <c r="D95">
        <f ca="1">IFERROR(__xludf.DUMMYFUNCTION("""COMPUTED_VALUE"""),180027)</f>
        <v>180027</v>
      </c>
      <c r="E95">
        <f ca="1">IFERROR(__xludf.DUMMYFUNCTION("""COMPUTED_VALUE"""),401.25)</f>
        <v>401.25</v>
      </c>
      <c r="F95">
        <v>447</v>
      </c>
      <c r="G95">
        <v>0.8976510067114094</v>
      </c>
      <c r="H95">
        <v>111864</v>
      </c>
      <c r="I95">
        <v>180027</v>
      </c>
      <c r="J95">
        <v>111864</v>
      </c>
      <c r="K95">
        <v>0.907707261671026</v>
      </c>
      <c r="L95">
        <f t="shared" ca="1" si="9"/>
        <v>249.32511375000001</v>
      </c>
      <c r="M95">
        <f t="shared" si="9"/>
        <v>277.752837</v>
      </c>
      <c r="N95">
        <v>111864</v>
      </c>
      <c r="O95">
        <f t="shared" ca="1" si="4"/>
        <v>0.8976510067114094</v>
      </c>
    </row>
    <row r="96" spans="1:15" x14ac:dyDescent="0.2">
      <c r="A96" t="str">
        <f ca="1">IFERROR(__xludf.DUMMYFUNCTION("""COMPUTED_VALUE"""),"km")</f>
        <v>km</v>
      </c>
      <c r="B96" t="str">
        <f ca="1">IFERROR(__xludf.DUMMYFUNCTION("""COMPUTED_VALUE"""),"Model 3 LR AWD")</f>
        <v>Model 3 LR AWD</v>
      </c>
      <c r="C96">
        <f ca="1">IFERROR(__xludf.DUMMYFUNCTION("""COMPUTED_VALUE"""),497)</f>
        <v>497</v>
      </c>
      <c r="D96">
        <f ca="1">IFERROR(__xludf.DUMMYFUNCTION("""COMPUTED_VALUE"""),77420)</f>
        <v>77420</v>
      </c>
      <c r="E96">
        <f ca="1">IFERROR(__xludf.DUMMYFUNCTION("""COMPUTED_VALUE"""),448)</f>
        <v>448</v>
      </c>
      <c r="F96">
        <v>499</v>
      </c>
      <c r="G96">
        <v>0.89779559118236474</v>
      </c>
      <c r="H96">
        <v>48107</v>
      </c>
      <c r="I96">
        <v>77420</v>
      </c>
      <c r="J96">
        <v>48107</v>
      </c>
      <c r="K96">
        <v>0.95246772158563786</v>
      </c>
      <c r="L96">
        <f t="shared" ca="1" si="9"/>
        <v>278.37420800000001</v>
      </c>
      <c r="M96">
        <f t="shared" si="9"/>
        <v>310.06412899999998</v>
      </c>
      <c r="N96">
        <v>48107</v>
      </c>
      <c r="O96">
        <f t="shared" ca="1" si="4"/>
        <v>0.89779559118236485</v>
      </c>
    </row>
    <row r="97" spans="1:15" x14ac:dyDescent="0.2">
      <c r="A97" t="str">
        <f ca="1">IFERROR(__xludf.DUMMYFUNCTION("""COMPUTED_VALUE"""),"km")</f>
        <v>km</v>
      </c>
      <c r="B97" t="str">
        <f ca="1">IFERROR(__xludf.DUMMYFUNCTION("""COMPUTED_VALUE"""),"Model S 60")</f>
        <v>Model S 60</v>
      </c>
      <c r="D97">
        <f ca="1">IFERROR(__xludf.DUMMYFUNCTION("""COMPUTED_VALUE"""),54100)</f>
        <v>54100</v>
      </c>
      <c r="E97">
        <f ca="1">IFERROR(__xludf.DUMMYFUNCTION("""COMPUTED_VALUE"""),255)</f>
        <v>255</v>
      </c>
      <c r="F97">
        <v>284</v>
      </c>
      <c r="G97">
        <v>0.897887323943662</v>
      </c>
      <c r="H97">
        <v>33616</v>
      </c>
      <c r="I97">
        <v>54100</v>
      </c>
      <c r="J97">
        <v>33616</v>
      </c>
      <c r="K97">
        <v>0.96559846454796949</v>
      </c>
      <c r="L97">
        <f t="shared" ca="1" si="9"/>
        <v>158.44960499999999</v>
      </c>
      <c r="M97">
        <f t="shared" si="9"/>
        <v>176.46936400000001</v>
      </c>
      <c r="N97">
        <v>33616</v>
      </c>
      <c r="O97">
        <f t="shared" ca="1" si="4"/>
        <v>0.89788732394366189</v>
      </c>
    </row>
    <row r="98" spans="1:15" x14ac:dyDescent="0.2">
      <c r="A98" t="str">
        <f ca="1">IFERROR(__xludf.DUMMYFUNCTION("""COMPUTED_VALUE"""),"mi")</f>
        <v>mi</v>
      </c>
      <c r="B98" t="str">
        <f ca="1">IFERROR(__xludf.DUMMYFUNCTION("""COMPUTED_VALUE"""),"Model 3 LR")</f>
        <v>Model 3 LR</v>
      </c>
      <c r="C98">
        <f ca="1">IFERROR(__xludf.DUMMYFUNCTION("""COMPUTED_VALUE"""),310)</f>
        <v>310</v>
      </c>
      <c r="D98">
        <f ca="1">IFERROR(__xludf.DUMMYFUNCTION("""COMPUTED_VALUE"""),165100)</f>
        <v>165100</v>
      </c>
      <c r="E98">
        <f ca="1">IFERROR(__xludf.DUMMYFUNCTION("""COMPUTED_VALUE"""),292)</f>
        <v>292</v>
      </c>
      <c r="F98">
        <v>325</v>
      </c>
      <c r="G98">
        <v>0.89846153846153842</v>
      </c>
      <c r="H98">
        <v>165100</v>
      </c>
      <c r="I98">
        <v>265703</v>
      </c>
      <c r="J98">
        <v>165100</v>
      </c>
      <c r="K98">
        <v>0.88794329085594847</v>
      </c>
      <c r="L98">
        <f ca="1">IFERROR(__xludf.DUMMYFUNCTION("""COMPUTED_VALUE"""),292)</f>
        <v>292</v>
      </c>
      <c r="M98">
        <v>325</v>
      </c>
      <c r="N98">
        <v>165100</v>
      </c>
      <c r="O98">
        <f t="shared" ca="1" si="4"/>
        <v>0.89846153846153842</v>
      </c>
    </row>
    <row r="99" spans="1:15" x14ac:dyDescent="0.2">
      <c r="A99" t="str">
        <f ca="1">IFERROR(__xludf.DUMMYFUNCTION("""COMPUTED_VALUE"""),"mi")</f>
        <v>mi</v>
      </c>
      <c r="B99" t="str">
        <f ca="1">IFERROR(__xludf.DUMMYFUNCTION("""COMPUTED_VALUE"""),"Model S 85")</f>
        <v>Model S 85</v>
      </c>
      <c r="D99">
        <f ca="1">IFERROR(__xludf.DUMMYFUNCTION("""COMPUTED_VALUE"""),175605)</f>
        <v>175605</v>
      </c>
      <c r="E99">
        <f ca="1">IFERROR(__xludf.DUMMYFUNCTION("""COMPUTED_VALUE"""),239)</f>
        <v>239</v>
      </c>
      <c r="F99">
        <v>266</v>
      </c>
      <c r="G99">
        <v>0.89849624060150379</v>
      </c>
      <c r="H99">
        <v>175605</v>
      </c>
      <c r="I99">
        <v>282609</v>
      </c>
      <c r="J99">
        <v>175605</v>
      </c>
      <c r="K99">
        <v>0.88608824790659346</v>
      </c>
      <c r="L99">
        <f ca="1">IFERROR(__xludf.DUMMYFUNCTION("""COMPUTED_VALUE"""),239)</f>
        <v>239</v>
      </c>
      <c r="M99">
        <v>266</v>
      </c>
      <c r="N99">
        <v>175605</v>
      </c>
      <c r="O99">
        <f t="shared" ca="1" si="4"/>
        <v>0.89849624060150379</v>
      </c>
    </row>
    <row r="100" spans="1:15" x14ac:dyDescent="0.2">
      <c r="A100" t="str">
        <f ca="1">IFERROR(__xludf.DUMMYFUNCTION("""COMPUTED_VALUE"""),"mi")</f>
        <v>mi</v>
      </c>
      <c r="B100" t="str">
        <f ca="1">IFERROR(__xludf.DUMMYFUNCTION("""COMPUTED_VALUE"""),"Model S 60")</f>
        <v>Model S 60</v>
      </c>
      <c r="D100">
        <f ca="1">IFERROR(__xludf.DUMMYFUNCTION("""COMPUTED_VALUE"""),25500)</f>
        <v>25500</v>
      </c>
      <c r="E100">
        <f ca="1">IFERROR(__xludf.DUMMYFUNCTION("""COMPUTED_VALUE"""),186)</f>
        <v>186</v>
      </c>
      <c r="F100">
        <v>207</v>
      </c>
      <c r="G100">
        <v>0.89855072463768115</v>
      </c>
      <c r="H100">
        <v>25500</v>
      </c>
      <c r="I100">
        <v>41038</v>
      </c>
      <c r="J100">
        <v>25500</v>
      </c>
      <c r="K100">
        <v>0.97340717912185903</v>
      </c>
      <c r="L100">
        <f ca="1">IFERROR(__xludf.DUMMYFUNCTION("""COMPUTED_VALUE"""),186)</f>
        <v>186</v>
      </c>
      <c r="M100">
        <v>207</v>
      </c>
      <c r="N100">
        <v>25500</v>
      </c>
      <c r="O100">
        <f t="shared" ca="1" si="4"/>
        <v>0.89855072463768115</v>
      </c>
    </row>
    <row r="101" spans="1:15" x14ac:dyDescent="0.2">
      <c r="A101" t="str">
        <f ca="1">IFERROR(__xludf.DUMMYFUNCTION("""COMPUTED_VALUE"""),"km")</f>
        <v>km</v>
      </c>
      <c r="B101" t="str">
        <f ca="1">IFERROR(__xludf.DUMMYFUNCTION("""COMPUTED_VALUE"""),"Model S P85")</f>
        <v>Model S P85</v>
      </c>
      <c r="C101">
        <f ca="1">IFERROR(__xludf.DUMMYFUNCTION("""COMPUTED_VALUE"""),415)</f>
        <v>415</v>
      </c>
      <c r="D101">
        <f ca="1">IFERROR(__xludf.DUMMYFUNCTION("""COMPUTED_VALUE"""),219135)</f>
        <v>219135</v>
      </c>
      <c r="E101">
        <f ca="1">IFERROR(__xludf.DUMMYFUNCTION("""COMPUTED_VALUE"""),355)</f>
        <v>355</v>
      </c>
      <c r="F101">
        <v>395</v>
      </c>
      <c r="G101">
        <v>0.89873417721518989</v>
      </c>
      <c r="H101">
        <v>136164</v>
      </c>
      <c r="I101">
        <v>219135</v>
      </c>
      <c r="J101">
        <v>136164</v>
      </c>
      <c r="K101">
        <v>0.89658957561060482</v>
      </c>
      <c r="L101">
        <f t="shared" ref="L101:M106" ca="1" si="10">E101*0.621371</f>
        <v>220.58670499999999</v>
      </c>
      <c r="M101">
        <f t="shared" si="10"/>
        <v>245.44154499999999</v>
      </c>
      <c r="N101">
        <v>136164</v>
      </c>
      <c r="O101">
        <f t="shared" ca="1" si="4"/>
        <v>0.89873417721518989</v>
      </c>
    </row>
    <row r="102" spans="1:15" x14ac:dyDescent="0.2">
      <c r="A102" t="str">
        <f ca="1">IFERROR(__xludf.DUMMYFUNCTION("""COMPUTED_VALUE"""),"km")</f>
        <v>km</v>
      </c>
      <c r="B102" t="str">
        <f ca="1">IFERROR(__xludf.DUMMYFUNCTION("""COMPUTED_VALUE"""),"Model S P85")</f>
        <v>Model S P85</v>
      </c>
      <c r="C102">
        <f ca="1">IFERROR(__xludf.DUMMYFUNCTION("""COMPUTED_VALUE"""),490)</f>
        <v>490</v>
      </c>
      <c r="D102">
        <f ca="1">IFERROR(__xludf.DUMMYFUNCTION("""COMPUTED_VALUE"""),361500)</f>
        <v>361500</v>
      </c>
      <c r="E102">
        <f ca="1">IFERROR(__xludf.DUMMYFUNCTION("""COMPUTED_VALUE"""),355)</f>
        <v>355</v>
      </c>
      <c r="F102">
        <v>395</v>
      </c>
      <c r="G102">
        <v>0.89873417721518989</v>
      </c>
      <c r="H102">
        <v>224626</v>
      </c>
      <c r="I102">
        <v>361500</v>
      </c>
      <c r="J102">
        <v>224626</v>
      </c>
      <c r="K102">
        <v>0.88697606007624508</v>
      </c>
      <c r="L102">
        <f t="shared" ca="1" si="10"/>
        <v>220.58670499999999</v>
      </c>
      <c r="M102">
        <f t="shared" si="10"/>
        <v>245.44154499999999</v>
      </c>
      <c r="N102">
        <v>224626</v>
      </c>
      <c r="O102">
        <f t="shared" ca="1" si="4"/>
        <v>0.89873417721518989</v>
      </c>
    </row>
    <row r="103" spans="1:15" x14ac:dyDescent="0.2">
      <c r="A103" t="str">
        <f ca="1">IFERROR(__xludf.DUMMYFUNCTION("""COMPUTED_VALUE"""),"km")</f>
        <v>km</v>
      </c>
      <c r="B103" t="str">
        <f ca="1">IFERROR(__xludf.DUMMYFUNCTION("""COMPUTED_VALUE"""),"Model S P85")</f>
        <v>Model S P85</v>
      </c>
      <c r="C103">
        <f ca="1">IFERROR(__xludf.DUMMYFUNCTION("""COMPUTED_VALUE"""),400)</f>
        <v>400</v>
      </c>
      <c r="D103">
        <f ca="1">IFERROR(__xludf.DUMMYFUNCTION("""COMPUTED_VALUE"""),276500)</f>
        <v>276500</v>
      </c>
      <c r="E103">
        <f ca="1">IFERROR(__xludf.DUMMYFUNCTION("""COMPUTED_VALUE"""),355)</f>
        <v>355</v>
      </c>
      <c r="F103">
        <v>395</v>
      </c>
      <c r="G103">
        <v>0.89873417721518989</v>
      </c>
      <c r="H103">
        <v>171809</v>
      </c>
      <c r="I103">
        <v>276500</v>
      </c>
      <c r="J103">
        <v>171809</v>
      </c>
      <c r="K103">
        <v>0.88667793007235707</v>
      </c>
      <c r="L103">
        <f t="shared" ca="1" si="10"/>
        <v>220.58670499999999</v>
      </c>
      <c r="M103">
        <f t="shared" si="10"/>
        <v>245.44154499999999</v>
      </c>
      <c r="N103">
        <v>171809</v>
      </c>
      <c r="O103">
        <f t="shared" ca="1" si="4"/>
        <v>0.89873417721518989</v>
      </c>
    </row>
    <row r="104" spans="1:15" x14ac:dyDescent="0.2">
      <c r="A104" t="str">
        <f ca="1">IFERROR(__xludf.DUMMYFUNCTION("""COMPUTED_VALUE"""),"km")</f>
        <v>km</v>
      </c>
      <c r="B104" t="str">
        <f ca="1">IFERROR(__xludf.DUMMYFUNCTION("""COMPUTED_VALUE"""),"Model S P85+")</f>
        <v>Model S P85+</v>
      </c>
      <c r="C104">
        <f ca="1">IFERROR(__xludf.DUMMYFUNCTION("""COMPUTED_VALUE"""),400)</f>
        <v>400</v>
      </c>
      <c r="D104">
        <f ca="1">IFERROR(__xludf.DUMMYFUNCTION("""COMPUTED_VALUE"""),156486)</f>
        <v>156486</v>
      </c>
      <c r="E104">
        <f ca="1">IFERROR(__xludf.DUMMYFUNCTION("""COMPUTED_VALUE"""),355)</f>
        <v>355</v>
      </c>
      <c r="F104">
        <v>395</v>
      </c>
      <c r="G104">
        <v>0.89873417721518989</v>
      </c>
      <c r="H104">
        <v>97236</v>
      </c>
      <c r="I104">
        <v>156486</v>
      </c>
      <c r="J104">
        <v>97236</v>
      </c>
      <c r="K104">
        <v>0.91602814910342967</v>
      </c>
      <c r="L104">
        <f t="shared" ca="1" si="10"/>
        <v>220.58670499999999</v>
      </c>
      <c r="M104">
        <f t="shared" si="10"/>
        <v>245.44154499999999</v>
      </c>
      <c r="N104">
        <v>97236</v>
      </c>
      <c r="O104">
        <f t="shared" ca="1" si="4"/>
        <v>0.89873417721518989</v>
      </c>
    </row>
    <row r="105" spans="1:15" x14ac:dyDescent="0.2">
      <c r="A105" t="str">
        <f ca="1">IFERROR(__xludf.DUMMYFUNCTION("""COMPUTED_VALUE"""),"km")</f>
        <v>km</v>
      </c>
      <c r="B105" t="str">
        <f ca="1">IFERROR(__xludf.DUMMYFUNCTION("""COMPUTED_VALUE"""),"Model S 85")</f>
        <v>Model S 85</v>
      </c>
      <c r="C105">
        <f ca="1">IFERROR(__xludf.DUMMYFUNCTION("""COMPUTED_VALUE"""),392)</f>
        <v>392</v>
      </c>
      <c r="D105">
        <f ca="1">IFERROR(__xludf.DUMMYFUNCTION("""COMPUTED_VALUE"""),43123)</f>
        <v>43123</v>
      </c>
      <c r="E105">
        <f ca="1">IFERROR(__xludf.DUMMYFUNCTION("""COMPUTED_VALUE"""),355)</f>
        <v>355</v>
      </c>
      <c r="F105">
        <v>395</v>
      </c>
      <c r="G105">
        <v>0.89873417721518989</v>
      </c>
      <c r="H105">
        <v>26795</v>
      </c>
      <c r="I105">
        <v>43123</v>
      </c>
      <c r="J105">
        <v>26795</v>
      </c>
      <c r="K105">
        <v>0.97213914741632323</v>
      </c>
      <c r="L105">
        <f t="shared" ca="1" si="10"/>
        <v>220.58670499999999</v>
      </c>
      <c r="M105">
        <f t="shared" si="10"/>
        <v>245.44154499999999</v>
      </c>
      <c r="N105">
        <v>26795</v>
      </c>
      <c r="O105">
        <f t="shared" ca="1" si="4"/>
        <v>0.89873417721518989</v>
      </c>
    </row>
    <row r="106" spans="1:15" x14ac:dyDescent="0.2">
      <c r="A106" t="str">
        <f ca="1">IFERROR(__xludf.DUMMYFUNCTION("""COMPUTED_VALUE"""),"km")</f>
        <v>km</v>
      </c>
      <c r="B106" t="str">
        <f ca="1">IFERROR(__xludf.DUMMYFUNCTION("""COMPUTED_VALUE"""),"Model S 85")</f>
        <v>Model S 85</v>
      </c>
      <c r="C106">
        <f ca="1">IFERROR(__xludf.DUMMYFUNCTION("""COMPUTED_VALUE"""),425)</f>
        <v>425</v>
      </c>
      <c r="D106">
        <f ca="1">IFERROR(__xludf.DUMMYFUNCTION("""COMPUTED_VALUE"""),239408)</f>
        <v>239408</v>
      </c>
      <c r="E106">
        <f ca="1">IFERROR(__xludf.DUMMYFUNCTION("""COMPUTED_VALUE"""),385)</f>
        <v>385</v>
      </c>
      <c r="F106">
        <v>428</v>
      </c>
      <c r="G106">
        <v>0.89953271028037385</v>
      </c>
      <c r="H106">
        <v>148761</v>
      </c>
      <c r="I106">
        <v>239408</v>
      </c>
      <c r="J106">
        <v>148761</v>
      </c>
      <c r="K106">
        <v>0.8921980649993756</v>
      </c>
      <c r="L106">
        <f t="shared" ca="1" si="10"/>
        <v>239.227835</v>
      </c>
      <c r="M106">
        <f t="shared" si="10"/>
        <v>265.94678800000003</v>
      </c>
      <c r="N106">
        <v>148761</v>
      </c>
      <c r="O106">
        <f t="shared" ca="1" si="4"/>
        <v>0.89953271028037374</v>
      </c>
    </row>
    <row r="107" spans="1:15" x14ac:dyDescent="0.2">
      <c r="A107" t="str">
        <f ca="1">IFERROR(__xludf.DUMMYFUNCTION("""COMPUTED_VALUE"""),"mi")</f>
        <v>mi</v>
      </c>
      <c r="B107" t="str">
        <f ca="1">IFERROR(__xludf.DUMMYFUNCTION("""COMPUTED_VALUE"""),"Model 3 P")</f>
        <v>Model 3 P</v>
      </c>
      <c r="C107">
        <f ca="1">IFERROR(__xludf.DUMMYFUNCTION("""COMPUTED_VALUE"""),303)</f>
        <v>303</v>
      </c>
      <c r="D107">
        <f ca="1">IFERROR(__xludf.DUMMYFUNCTION("""COMPUTED_VALUE"""),26650)</f>
        <v>26650</v>
      </c>
      <c r="E107">
        <f ca="1">IFERROR(__xludf.DUMMYFUNCTION("""COMPUTED_VALUE"""),279)</f>
        <v>279</v>
      </c>
      <c r="F107">
        <v>310</v>
      </c>
      <c r="G107">
        <v>0.9</v>
      </c>
      <c r="H107">
        <v>26650</v>
      </c>
      <c r="I107">
        <v>42889</v>
      </c>
      <c r="J107">
        <v>26650</v>
      </c>
      <c r="K107">
        <v>0.9722810522466474</v>
      </c>
      <c r="L107">
        <f ca="1">IFERROR(__xludf.DUMMYFUNCTION("""COMPUTED_VALUE"""),279)</f>
        <v>279</v>
      </c>
      <c r="M107">
        <v>310</v>
      </c>
      <c r="N107">
        <v>26650</v>
      </c>
      <c r="O107">
        <f t="shared" ca="1" si="4"/>
        <v>0.9</v>
      </c>
    </row>
    <row r="108" spans="1:15" x14ac:dyDescent="0.2">
      <c r="A108" t="str">
        <f ca="1">IFERROR(__xludf.DUMMYFUNCTION("""COMPUTED_VALUE"""),"mi")</f>
        <v>mi</v>
      </c>
      <c r="B108" t="str">
        <f ca="1">IFERROR(__xludf.DUMMYFUNCTION("""COMPUTED_VALUE"""),"Model 3 P")</f>
        <v>Model 3 P</v>
      </c>
      <c r="C108">
        <f ca="1">IFERROR(__xludf.DUMMYFUNCTION("""COMPUTED_VALUE"""),300)</f>
        <v>300</v>
      </c>
      <c r="D108">
        <f ca="1">IFERROR(__xludf.DUMMYFUNCTION("""COMPUTED_VALUE"""),31501)</f>
        <v>31501</v>
      </c>
      <c r="E108">
        <f ca="1">IFERROR(__xludf.DUMMYFUNCTION("""COMPUTED_VALUE"""),279)</f>
        <v>279</v>
      </c>
      <c r="F108">
        <v>310</v>
      </c>
      <c r="G108">
        <v>0.9</v>
      </c>
      <c r="H108">
        <v>31501</v>
      </c>
      <c r="I108">
        <v>50696</v>
      </c>
      <c r="J108">
        <v>31501</v>
      </c>
      <c r="K108">
        <v>0.96760235580734599</v>
      </c>
      <c r="L108">
        <f ca="1">IFERROR(__xludf.DUMMYFUNCTION("""COMPUTED_VALUE"""),279)</f>
        <v>279</v>
      </c>
      <c r="M108">
        <v>310</v>
      </c>
      <c r="N108">
        <v>31501</v>
      </c>
      <c r="O108">
        <f t="shared" ca="1" si="4"/>
        <v>0.9</v>
      </c>
    </row>
    <row r="109" spans="1:15" x14ac:dyDescent="0.2">
      <c r="A109" t="str">
        <f ca="1">IFERROR(__xludf.DUMMYFUNCTION("""COMPUTED_VALUE"""),"mi")</f>
        <v>mi</v>
      </c>
      <c r="B109" t="str">
        <f ca="1">IFERROR(__xludf.DUMMYFUNCTION("""COMPUTED_VALUE"""),"Model 3 SR+")</f>
        <v>Model 3 SR+</v>
      </c>
      <c r="C109">
        <f ca="1">IFERROR(__xludf.DUMMYFUNCTION("""COMPUTED_VALUE"""),239)</f>
        <v>239</v>
      </c>
      <c r="D109">
        <f ca="1">IFERROR(__xludf.DUMMYFUNCTION("""COMPUTED_VALUE"""),52525)</f>
        <v>52525</v>
      </c>
      <c r="E109">
        <f ca="1">IFERROR(__xludf.DUMMYFUNCTION("""COMPUTED_VALUE"""),216)</f>
        <v>216</v>
      </c>
      <c r="F109">
        <v>240</v>
      </c>
      <c r="G109">
        <v>0.9</v>
      </c>
      <c r="H109">
        <v>52525</v>
      </c>
      <c r="I109">
        <v>84531</v>
      </c>
      <c r="J109">
        <v>52525</v>
      </c>
      <c r="K109">
        <v>0.94867387010529025</v>
      </c>
      <c r="L109">
        <f ca="1">IFERROR(__xludf.DUMMYFUNCTION("""COMPUTED_VALUE"""),216)</f>
        <v>216</v>
      </c>
      <c r="M109">
        <v>240</v>
      </c>
      <c r="N109">
        <v>52525</v>
      </c>
      <c r="O109">
        <f t="shared" ca="1" si="4"/>
        <v>0.9</v>
      </c>
    </row>
    <row r="110" spans="1:15" x14ac:dyDescent="0.2">
      <c r="A110" t="str">
        <f ca="1">IFERROR(__xludf.DUMMYFUNCTION("""COMPUTED_VALUE"""),"mi")</f>
        <v>mi</v>
      </c>
      <c r="B110" t="str">
        <f ca="1">IFERROR(__xludf.DUMMYFUNCTION("""COMPUTED_VALUE"""),"Model S 85")</f>
        <v>Model S 85</v>
      </c>
      <c r="D110">
        <f ca="1">IFERROR(__xludf.DUMMYFUNCTION("""COMPUTED_VALUE"""),87571)</f>
        <v>87571</v>
      </c>
      <c r="E110">
        <f ca="1">IFERROR(__xludf.DUMMYFUNCTION("""COMPUTED_VALUE"""),220.53)</f>
        <v>220.53</v>
      </c>
      <c r="F110">
        <v>245</v>
      </c>
      <c r="G110">
        <v>0.90012244897959182</v>
      </c>
      <c r="H110">
        <v>87571</v>
      </c>
      <c r="I110">
        <v>140932</v>
      </c>
      <c r="J110">
        <v>87571</v>
      </c>
      <c r="K110">
        <v>0.92217779170813752</v>
      </c>
      <c r="L110">
        <f ca="1">IFERROR(__xludf.DUMMYFUNCTION("""COMPUTED_VALUE"""),220.53)</f>
        <v>220.53</v>
      </c>
      <c r="M110">
        <v>245</v>
      </c>
      <c r="N110">
        <v>87571</v>
      </c>
      <c r="O110">
        <f t="shared" ca="1" si="4"/>
        <v>0.90012244897959182</v>
      </c>
    </row>
    <row r="111" spans="1:15" x14ac:dyDescent="0.2">
      <c r="A111" t="str">
        <f ca="1">IFERROR(__xludf.DUMMYFUNCTION("""COMPUTED_VALUE"""),"km")</f>
        <v>km</v>
      </c>
      <c r="B111" t="str">
        <f ca="1">IFERROR(__xludf.DUMMYFUNCTION("""COMPUTED_VALUE"""),"Model 3 SR+")</f>
        <v>Model 3 SR+</v>
      </c>
      <c r="D111">
        <f ca="1">IFERROR(__xludf.DUMMYFUNCTION("""COMPUTED_VALUE"""),81962)</f>
        <v>81962</v>
      </c>
      <c r="E111">
        <f ca="1">IFERROR(__xludf.DUMMYFUNCTION("""COMPUTED_VALUE"""),343)</f>
        <v>343</v>
      </c>
      <c r="F111">
        <v>381</v>
      </c>
      <c r="G111">
        <v>0.90026246719160108</v>
      </c>
      <c r="H111">
        <v>50929</v>
      </c>
      <c r="I111">
        <v>81962</v>
      </c>
      <c r="J111">
        <v>50929</v>
      </c>
      <c r="K111">
        <v>0.95003302956730407</v>
      </c>
      <c r="L111">
        <f ca="1">E111*0.621371</f>
        <v>213.13025300000001</v>
      </c>
      <c r="M111">
        <f>F111*0.621371</f>
        <v>236.74235100000001</v>
      </c>
      <c r="N111">
        <v>50929</v>
      </c>
      <c r="O111">
        <f t="shared" ca="1" si="4"/>
        <v>0.90026246719160108</v>
      </c>
    </row>
    <row r="112" spans="1:15" x14ac:dyDescent="0.2">
      <c r="A112" t="str">
        <f ca="1">IFERROR(__xludf.DUMMYFUNCTION("""COMPUTED_VALUE"""),"mi")</f>
        <v>mi</v>
      </c>
      <c r="B112" t="str">
        <f ca="1">IFERROR(__xludf.DUMMYFUNCTION("""COMPUTED_VALUE"""),"Model S 90D")</f>
        <v>Model S 90D</v>
      </c>
      <c r="C112">
        <f ca="1">IFERROR(__xludf.DUMMYFUNCTION("""COMPUTED_VALUE"""),280)</f>
        <v>280</v>
      </c>
      <c r="D112">
        <f ca="1">IFERROR(__xludf.DUMMYFUNCTION("""COMPUTED_VALUE"""),65150)</f>
        <v>65150</v>
      </c>
      <c r="E112">
        <f ca="1">IFERROR(__xludf.DUMMYFUNCTION("""COMPUTED_VALUE"""),263)</f>
        <v>263</v>
      </c>
      <c r="F112">
        <v>292</v>
      </c>
      <c r="G112">
        <v>0.90068493150684936</v>
      </c>
      <c r="H112">
        <v>65150</v>
      </c>
      <c r="I112">
        <v>104849</v>
      </c>
      <c r="J112">
        <v>65150</v>
      </c>
      <c r="K112">
        <v>0.93838548087940521</v>
      </c>
      <c r="L112">
        <f ca="1">IFERROR(__xludf.DUMMYFUNCTION("""COMPUTED_VALUE"""),263)</f>
        <v>263</v>
      </c>
      <c r="M112">
        <v>292</v>
      </c>
      <c r="N112">
        <v>65150</v>
      </c>
      <c r="O112">
        <f t="shared" ca="1" si="4"/>
        <v>0.90068493150684936</v>
      </c>
    </row>
    <row r="113" spans="1:15" x14ac:dyDescent="0.2">
      <c r="A113" t="str">
        <f ca="1">IFERROR(__xludf.DUMMYFUNCTION("""COMPUTED_VALUE"""),"km")</f>
        <v>km</v>
      </c>
      <c r="B113" t="str">
        <f ca="1">IFERROR(__xludf.DUMMYFUNCTION("""COMPUTED_VALUE"""),"Model S 85")</f>
        <v>Model S 85</v>
      </c>
      <c r="C113">
        <f ca="1">IFERROR(__xludf.DUMMYFUNCTION("""COMPUTED_VALUE"""),500)</f>
        <v>500</v>
      </c>
      <c r="D113">
        <f ca="1">IFERROR(__xludf.DUMMYFUNCTION("""COMPUTED_VALUE"""),211621)</f>
        <v>211621</v>
      </c>
      <c r="E113">
        <f ca="1">IFERROR(__xludf.DUMMYFUNCTION("""COMPUTED_VALUE"""),356)</f>
        <v>356</v>
      </c>
      <c r="F113">
        <v>395</v>
      </c>
      <c r="G113">
        <v>0.90126582278481016</v>
      </c>
      <c r="H113">
        <v>131495</v>
      </c>
      <c r="I113">
        <v>211621</v>
      </c>
      <c r="J113">
        <v>131495</v>
      </c>
      <c r="K113">
        <v>0.89845800385860852</v>
      </c>
      <c r="L113">
        <f t="shared" ref="L113:M117" ca="1" si="11">E113*0.621371</f>
        <v>221.20807600000001</v>
      </c>
      <c r="M113">
        <f t="shared" si="11"/>
        <v>245.44154499999999</v>
      </c>
      <c r="N113">
        <v>131495</v>
      </c>
      <c r="O113">
        <f t="shared" ca="1" si="4"/>
        <v>0.90126582278481016</v>
      </c>
    </row>
    <row r="114" spans="1:15" x14ac:dyDescent="0.2">
      <c r="A114" t="str">
        <f ca="1">IFERROR(__xludf.DUMMYFUNCTION("""COMPUTED_VALUE"""),"km")</f>
        <v>km</v>
      </c>
      <c r="B114" t="str">
        <f ca="1">IFERROR(__xludf.DUMMYFUNCTION("""COMPUTED_VALUE"""),"Model S 85")</f>
        <v>Model S 85</v>
      </c>
      <c r="D114">
        <f ca="1">IFERROR(__xludf.DUMMYFUNCTION("""COMPUTED_VALUE"""),180775)</f>
        <v>180775</v>
      </c>
      <c r="E114">
        <f ca="1">IFERROR(__xludf.DUMMYFUNCTION("""COMPUTED_VALUE"""),356)</f>
        <v>356</v>
      </c>
      <c r="F114">
        <v>395</v>
      </c>
      <c r="G114">
        <v>0.90126582278481016</v>
      </c>
      <c r="H114">
        <v>112328</v>
      </c>
      <c r="I114">
        <v>180775</v>
      </c>
      <c r="J114">
        <v>112328</v>
      </c>
      <c r="K114">
        <v>0.90746264273734423</v>
      </c>
      <c r="L114">
        <f t="shared" ca="1" si="11"/>
        <v>221.20807600000001</v>
      </c>
      <c r="M114">
        <f t="shared" si="11"/>
        <v>245.44154499999999</v>
      </c>
      <c r="N114">
        <v>112328</v>
      </c>
      <c r="O114">
        <f t="shared" ca="1" si="4"/>
        <v>0.90126582278481016</v>
      </c>
    </row>
    <row r="115" spans="1:15" x14ac:dyDescent="0.2">
      <c r="A115" t="str">
        <f ca="1">IFERROR(__xludf.DUMMYFUNCTION("""COMPUTED_VALUE"""),"km")</f>
        <v>km</v>
      </c>
      <c r="B115" t="str">
        <f ca="1">IFERROR(__xludf.DUMMYFUNCTION("""COMPUTED_VALUE"""),"Model S P85")</f>
        <v>Model S P85</v>
      </c>
      <c r="C115">
        <f ca="1">IFERROR(__xludf.DUMMYFUNCTION("""COMPUTED_VALUE"""),400)</f>
        <v>400</v>
      </c>
      <c r="D115">
        <f ca="1">IFERROR(__xludf.DUMMYFUNCTION("""COMPUTED_VALUE"""),150000)</f>
        <v>150000</v>
      </c>
      <c r="E115">
        <f ca="1">IFERROR(__xludf.DUMMYFUNCTION("""COMPUTED_VALUE"""),356)</f>
        <v>356</v>
      </c>
      <c r="F115">
        <v>395</v>
      </c>
      <c r="G115">
        <v>0.90126582278481016</v>
      </c>
      <c r="H115">
        <v>93206</v>
      </c>
      <c r="I115">
        <v>150000</v>
      </c>
      <c r="J115">
        <v>93206</v>
      </c>
      <c r="K115">
        <v>0.91853020747894987</v>
      </c>
      <c r="L115">
        <f t="shared" ca="1" si="11"/>
        <v>221.20807600000001</v>
      </c>
      <c r="M115">
        <f t="shared" si="11"/>
        <v>245.44154499999999</v>
      </c>
      <c r="N115">
        <v>93206</v>
      </c>
      <c r="O115">
        <f t="shared" ca="1" si="4"/>
        <v>0.90126582278481016</v>
      </c>
    </row>
    <row r="116" spans="1:15" x14ac:dyDescent="0.2">
      <c r="A116" t="str">
        <f ca="1">IFERROR(__xludf.DUMMYFUNCTION("""COMPUTED_VALUE"""),"km")</f>
        <v>km</v>
      </c>
      <c r="B116" t="str">
        <f ca="1">IFERROR(__xludf.DUMMYFUNCTION("""COMPUTED_VALUE"""),"Model S 60")</f>
        <v>Model S 60</v>
      </c>
      <c r="C116">
        <f ca="1">IFERROR(__xludf.DUMMYFUNCTION("""COMPUTED_VALUE"""),299)</f>
        <v>299</v>
      </c>
      <c r="D116">
        <f ca="1">IFERROR(__xludf.DUMMYFUNCTION("""COMPUTED_VALUE"""),44780)</f>
        <v>44780</v>
      </c>
      <c r="E116">
        <f ca="1">IFERROR(__xludf.DUMMYFUNCTION("""COMPUTED_VALUE"""),256)</f>
        <v>256</v>
      </c>
      <c r="F116">
        <v>284</v>
      </c>
      <c r="G116">
        <v>0.90140845070422537</v>
      </c>
      <c r="H116">
        <v>27825</v>
      </c>
      <c r="I116">
        <v>44780</v>
      </c>
      <c r="J116">
        <v>27825</v>
      </c>
      <c r="K116">
        <v>0.97113723732134849</v>
      </c>
      <c r="L116">
        <f t="shared" ca="1" si="11"/>
        <v>159.070976</v>
      </c>
      <c r="M116">
        <f t="shared" si="11"/>
        <v>176.46936400000001</v>
      </c>
      <c r="N116">
        <v>27825</v>
      </c>
      <c r="O116">
        <f t="shared" ca="1" si="4"/>
        <v>0.90140845070422526</v>
      </c>
    </row>
    <row r="117" spans="1:15" x14ac:dyDescent="0.2">
      <c r="A117" t="str">
        <f ca="1">IFERROR(__xludf.DUMMYFUNCTION("""COMPUTED_VALUE"""),"km")</f>
        <v>km</v>
      </c>
      <c r="B117" t="str">
        <f ca="1">IFERROR(__xludf.DUMMYFUNCTION("""COMPUTED_VALUE"""),"Model 3 P")</f>
        <v>Model 3 P</v>
      </c>
      <c r="C117">
        <f ca="1">IFERROR(__xludf.DUMMYFUNCTION("""COMPUTED_VALUE"""),502)</f>
        <v>502</v>
      </c>
      <c r="D117">
        <f ca="1">IFERROR(__xludf.DUMMYFUNCTION("""COMPUTED_VALUE"""),119440)</f>
        <v>119440</v>
      </c>
      <c r="E117">
        <f ca="1">IFERROR(__xludf.DUMMYFUNCTION("""COMPUTED_VALUE"""),450)</f>
        <v>450</v>
      </c>
      <c r="F117">
        <v>499</v>
      </c>
      <c r="G117">
        <v>0.90180360721442887</v>
      </c>
      <c r="H117">
        <v>74217</v>
      </c>
      <c r="I117">
        <v>119440</v>
      </c>
      <c r="J117">
        <v>74217</v>
      </c>
      <c r="K117">
        <v>0.93150933522424628</v>
      </c>
      <c r="L117">
        <f t="shared" ca="1" si="11"/>
        <v>279.61695000000003</v>
      </c>
      <c r="M117">
        <f t="shared" si="11"/>
        <v>310.06412899999998</v>
      </c>
      <c r="N117">
        <v>74217</v>
      </c>
      <c r="O117">
        <f t="shared" ca="1" si="4"/>
        <v>0.90180360721442898</v>
      </c>
    </row>
    <row r="118" spans="1:15" x14ac:dyDescent="0.2">
      <c r="A118" t="str">
        <f ca="1">IFERROR(__xludf.DUMMYFUNCTION("""COMPUTED_VALUE"""),"mi")</f>
        <v>mi</v>
      </c>
      <c r="B118" t="str">
        <f ca="1">IFERROR(__xludf.DUMMYFUNCTION("""COMPUTED_VALUE"""),"Model S P85")</f>
        <v>Model S P85</v>
      </c>
      <c r="C118">
        <f ca="1">IFERROR(__xludf.DUMMYFUNCTION("""COMPUTED_VALUE"""),260)</f>
        <v>260</v>
      </c>
      <c r="D118">
        <f ca="1">IFERROR(__xludf.DUMMYFUNCTION("""COMPUTED_VALUE"""),133778)</f>
        <v>133778</v>
      </c>
      <c r="E118">
        <f ca="1">IFERROR(__xludf.DUMMYFUNCTION("""COMPUTED_VALUE"""),240)</f>
        <v>240</v>
      </c>
      <c r="F118">
        <v>266</v>
      </c>
      <c r="G118">
        <v>0.90225563909774431</v>
      </c>
      <c r="H118">
        <v>133778</v>
      </c>
      <c r="I118">
        <v>215295</v>
      </c>
      <c r="J118">
        <v>133778</v>
      </c>
      <c r="K118">
        <v>0.89752830861147148</v>
      </c>
      <c r="L118">
        <f ca="1">IFERROR(__xludf.DUMMYFUNCTION("""COMPUTED_VALUE"""),240)</f>
        <v>240</v>
      </c>
      <c r="M118">
        <v>266</v>
      </c>
      <c r="N118">
        <v>133778</v>
      </c>
      <c r="O118">
        <f t="shared" ca="1" si="4"/>
        <v>0.90225563909774431</v>
      </c>
    </row>
    <row r="119" spans="1:15" x14ac:dyDescent="0.2">
      <c r="A119" t="str">
        <f ca="1">IFERROR(__xludf.DUMMYFUNCTION("""COMPUTED_VALUE"""),"km")</f>
        <v>km</v>
      </c>
      <c r="B119" t="str">
        <f ca="1">IFERROR(__xludf.DUMMYFUNCTION("""COMPUTED_VALUE"""),"Model S P90D")</f>
        <v>Model S P90D</v>
      </c>
      <c r="C119">
        <f ca="1">IFERROR(__xludf.DUMMYFUNCTION("""COMPUTED_VALUE"""),412)</f>
        <v>412</v>
      </c>
      <c r="D119">
        <f ca="1">IFERROR(__xludf.DUMMYFUNCTION("""COMPUTED_VALUE"""),154312)</f>
        <v>154312</v>
      </c>
      <c r="E119">
        <f ca="1">IFERROR(__xludf.DUMMYFUNCTION("""COMPUTED_VALUE"""),372)</f>
        <v>372</v>
      </c>
      <c r="F119">
        <v>412</v>
      </c>
      <c r="G119">
        <v>0.90291262135922334</v>
      </c>
      <c r="H119">
        <v>95885</v>
      </c>
      <c r="I119">
        <v>154312</v>
      </c>
      <c r="J119">
        <v>95885</v>
      </c>
      <c r="K119">
        <v>0.91685681194048063</v>
      </c>
      <c r="L119">
        <f ca="1">E119*0.621371</f>
        <v>231.150012</v>
      </c>
      <c r="M119">
        <f>F119*0.621371</f>
        <v>256.00485200000003</v>
      </c>
      <c r="N119">
        <v>95885</v>
      </c>
      <c r="O119">
        <f t="shared" ca="1" si="4"/>
        <v>0.90291262135922323</v>
      </c>
    </row>
    <row r="120" spans="1:15" x14ac:dyDescent="0.2">
      <c r="A120" t="str">
        <f ca="1">IFERROR(__xludf.DUMMYFUNCTION("""COMPUTED_VALUE"""),"mi")</f>
        <v>mi</v>
      </c>
      <c r="B120" t="str">
        <f ca="1">IFERROR(__xludf.DUMMYFUNCTION("""COMPUTED_VALUE"""),"Model S 75D")</f>
        <v>Model S 75D</v>
      </c>
      <c r="C120">
        <f ca="1">IFERROR(__xludf.DUMMYFUNCTION("""COMPUTED_VALUE"""),259)</f>
        <v>259</v>
      </c>
      <c r="D120">
        <f ca="1">IFERROR(__xludf.DUMMYFUNCTION("""COMPUTED_VALUE"""),55934)</f>
        <v>55934</v>
      </c>
      <c r="E120">
        <f ca="1">IFERROR(__xludf.DUMMYFUNCTION("""COMPUTED_VALUE"""),234)</f>
        <v>234</v>
      </c>
      <c r="F120">
        <v>259</v>
      </c>
      <c r="G120">
        <v>0.90347490347490345</v>
      </c>
      <c r="H120">
        <v>55934</v>
      </c>
      <c r="I120">
        <v>90017</v>
      </c>
      <c r="J120">
        <v>55934</v>
      </c>
      <c r="K120">
        <v>0.94581500788155681</v>
      </c>
      <c r="L120">
        <f ca="1">IFERROR(__xludf.DUMMYFUNCTION("""COMPUTED_VALUE"""),234)</f>
        <v>234</v>
      </c>
      <c r="M120">
        <v>259</v>
      </c>
      <c r="N120">
        <v>55934</v>
      </c>
      <c r="O120">
        <f t="shared" ca="1" si="4"/>
        <v>0.90347490347490345</v>
      </c>
    </row>
    <row r="121" spans="1:15" x14ac:dyDescent="0.2">
      <c r="A121" t="str">
        <f ca="1">IFERROR(__xludf.DUMMYFUNCTION("""COMPUTED_VALUE"""),"mi")</f>
        <v>mi</v>
      </c>
      <c r="B121" t="str">
        <f ca="1">IFERROR(__xludf.DUMMYFUNCTION("""COMPUTED_VALUE"""),"Model S 85D")</f>
        <v>Model S 85D</v>
      </c>
      <c r="D121">
        <f ca="1">IFERROR(__xludf.DUMMYFUNCTION("""COMPUTED_VALUE"""),45259)</f>
        <v>45259</v>
      </c>
      <c r="E121">
        <f ca="1">IFERROR(__xludf.DUMMYFUNCTION("""COMPUTED_VALUE"""),244)</f>
        <v>244</v>
      </c>
      <c r="F121">
        <v>270</v>
      </c>
      <c r="G121">
        <v>0.90370370370370368</v>
      </c>
      <c r="H121">
        <v>45259</v>
      </c>
      <c r="I121">
        <v>72837</v>
      </c>
      <c r="J121">
        <v>45259</v>
      </c>
      <c r="K121">
        <v>0.95496524746956912</v>
      </c>
      <c r="L121">
        <f ca="1">IFERROR(__xludf.DUMMYFUNCTION("""COMPUTED_VALUE"""),244)</f>
        <v>244</v>
      </c>
      <c r="M121">
        <v>270</v>
      </c>
      <c r="N121">
        <v>45259</v>
      </c>
      <c r="O121">
        <f t="shared" ca="1" si="4"/>
        <v>0.90370370370370368</v>
      </c>
    </row>
    <row r="122" spans="1:15" x14ac:dyDescent="0.2">
      <c r="A122" t="str">
        <f ca="1">IFERROR(__xludf.DUMMYFUNCTION("""COMPUTED_VALUE"""),"km")</f>
        <v>km</v>
      </c>
      <c r="B122" t="str">
        <f ca="1">IFERROR(__xludf.DUMMYFUNCTION("""COMPUTED_VALUE"""),"Model S P85")</f>
        <v>Model S P85</v>
      </c>
      <c r="C122">
        <f ca="1">IFERROR(__xludf.DUMMYFUNCTION("""COMPUTED_VALUE"""),400)</f>
        <v>400</v>
      </c>
      <c r="D122">
        <f ca="1">IFERROR(__xludf.DUMMYFUNCTION("""COMPUTED_VALUE"""),155000)</f>
        <v>155000</v>
      </c>
      <c r="E122">
        <f ca="1">IFERROR(__xludf.DUMMYFUNCTION("""COMPUTED_VALUE"""),357)</f>
        <v>357</v>
      </c>
      <c r="F122">
        <v>395</v>
      </c>
      <c r="G122">
        <v>0.90379746835443042</v>
      </c>
      <c r="H122">
        <v>96313</v>
      </c>
      <c r="I122">
        <v>155000</v>
      </c>
      <c r="J122">
        <v>96313</v>
      </c>
      <c r="K122">
        <v>0.91659347609656316</v>
      </c>
      <c r="L122">
        <f t="shared" ref="L122:M124" ca="1" si="12">E122*0.621371</f>
        <v>221.82944700000002</v>
      </c>
      <c r="M122">
        <f t="shared" si="12"/>
        <v>245.44154499999999</v>
      </c>
      <c r="N122">
        <v>96313</v>
      </c>
      <c r="O122">
        <f t="shared" ca="1" si="4"/>
        <v>0.90379746835443053</v>
      </c>
    </row>
    <row r="123" spans="1:15" x14ac:dyDescent="0.2">
      <c r="A123" t="str">
        <f ca="1">IFERROR(__xludf.DUMMYFUNCTION("""COMPUTED_VALUE"""),"km")</f>
        <v>km</v>
      </c>
      <c r="B123" t="str">
        <f ca="1">IFERROR(__xludf.DUMMYFUNCTION("""COMPUTED_VALUE"""),"Model S P85+")</f>
        <v>Model S P85+</v>
      </c>
      <c r="C123">
        <f ca="1">IFERROR(__xludf.DUMMYFUNCTION("""COMPUTED_VALUE"""),400)</f>
        <v>400</v>
      </c>
      <c r="D123">
        <f ca="1">IFERROR(__xludf.DUMMYFUNCTION("""COMPUTED_VALUE"""),41868)</f>
        <v>41868</v>
      </c>
      <c r="E123">
        <f ca="1">IFERROR(__xludf.DUMMYFUNCTION("""COMPUTED_VALUE"""),357)</f>
        <v>357</v>
      </c>
      <c r="F123">
        <v>395</v>
      </c>
      <c r="G123">
        <v>0.90379746835443042</v>
      </c>
      <c r="H123">
        <v>26016</v>
      </c>
      <c r="I123">
        <v>41868</v>
      </c>
      <c r="J123">
        <v>26016</v>
      </c>
      <c r="K123">
        <v>0.97290142155398207</v>
      </c>
      <c r="L123">
        <f t="shared" ca="1" si="12"/>
        <v>221.82944700000002</v>
      </c>
      <c r="M123">
        <f t="shared" si="12"/>
        <v>245.44154499999999</v>
      </c>
      <c r="N123">
        <v>26016</v>
      </c>
      <c r="O123">
        <f t="shared" ca="1" si="4"/>
        <v>0.90379746835443053</v>
      </c>
    </row>
    <row r="124" spans="1:15" x14ac:dyDescent="0.2">
      <c r="A124" t="str">
        <f ca="1">IFERROR(__xludf.DUMMYFUNCTION("""COMPUTED_VALUE"""),"km")</f>
        <v>km</v>
      </c>
      <c r="B124" t="str">
        <f ca="1">IFERROR(__xludf.DUMMYFUNCTION("""COMPUTED_VALUE"""),"Model S 90D")</f>
        <v>Model S 90D</v>
      </c>
      <c r="D124">
        <f ca="1">IFERROR(__xludf.DUMMYFUNCTION("""COMPUTED_VALUE"""),221900)</f>
        <v>221900</v>
      </c>
      <c r="E124">
        <f ca="1">IFERROR(__xludf.DUMMYFUNCTION("""COMPUTED_VALUE"""),404)</f>
        <v>404</v>
      </c>
      <c r="F124">
        <v>447</v>
      </c>
      <c r="G124">
        <v>0.90380313199105144</v>
      </c>
      <c r="H124">
        <v>137882</v>
      </c>
      <c r="I124">
        <v>221900</v>
      </c>
      <c r="J124">
        <v>137882</v>
      </c>
      <c r="K124">
        <v>0.8959345872385619</v>
      </c>
      <c r="L124">
        <f t="shared" ca="1" si="12"/>
        <v>251.033884</v>
      </c>
      <c r="M124">
        <f t="shared" si="12"/>
        <v>277.752837</v>
      </c>
      <c r="N124">
        <v>137882</v>
      </c>
      <c r="O124">
        <f t="shared" ca="1" si="4"/>
        <v>0.90380313199105144</v>
      </c>
    </row>
    <row r="125" spans="1:15" x14ac:dyDescent="0.2">
      <c r="A125" t="str">
        <f ca="1">IFERROR(__xludf.DUMMYFUNCTION("""COMPUTED_VALUE"""),"mi")</f>
        <v>mi</v>
      </c>
      <c r="B125" t="str">
        <f ca="1">IFERROR(__xludf.DUMMYFUNCTION("""COMPUTED_VALUE"""),"Model S P90D")</f>
        <v>Model S P90D</v>
      </c>
      <c r="C125">
        <f ca="1">IFERROR(__xludf.DUMMYFUNCTION("""COMPUTED_VALUE"""),270)</f>
        <v>270</v>
      </c>
      <c r="D125">
        <f ca="1">IFERROR(__xludf.DUMMYFUNCTION("""COMPUTED_VALUE"""),66667)</f>
        <v>66667</v>
      </c>
      <c r="E125">
        <f ca="1">IFERROR(__xludf.DUMMYFUNCTION("""COMPUTED_VALUE"""),245)</f>
        <v>245</v>
      </c>
      <c r="F125">
        <v>271</v>
      </c>
      <c r="G125">
        <v>0.90405904059040587</v>
      </c>
      <c r="H125">
        <v>66667</v>
      </c>
      <c r="I125">
        <v>107290</v>
      </c>
      <c r="J125">
        <v>66667</v>
      </c>
      <c r="K125">
        <v>0.9372050515864413</v>
      </c>
      <c r="L125">
        <f ca="1">IFERROR(__xludf.DUMMYFUNCTION("""COMPUTED_VALUE"""),245)</f>
        <v>245</v>
      </c>
      <c r="M125">
        <v>271</v>
      </c>
      <c r="N125">
        <v>66667</v>
      </c>
      <c r="O125">
        <f t="shared" ca="1" si="4"/>
        <v>0.90405904059040587</v>
      </c>
    </row>
    <row r="126" spans="1:15" x14ac:dyDescent="0.2">
      <c r="A126" t="str">
        <f ca="1">IFERROR(__xludf.DUMMYFUNCTION("""COMPUTED_VALUE"""),"mi")</f>
        <v>mi</v>
      </c>
      <c r="B126" t="str">
        <f ca="1">IFERROR(__xludf.DUMMYFUNCTION("""COMPUTED_VALUE"""),"Model S 90D")</f>
        <v>Model S 90D</v>
      </c>
      <c r="C126">
        <f ca="1">IFERROR(__xludf.DUMMYFUNCTION("""COMPUTED_VALUE"""),280)</f>
        <v>280</v>
      </c>
      <c r="D126">
        <f ca="1">IFERROR(__xludf.DUMMYFUNCTION("""COMPUTED_VALUE"""),66257)</f>
        <v>66257</v>
      </c>
      <c r="E126">
        <f ca="1">IFERROR(__xludf.DUMMYFUNCTION("""COMPUTED_VALUE"""),264)</f>
        <v>264</v>
      </c>
      <c r="F126">
        <v>292</v>
      </c>
      <c r="G126">
        <v>0.90410958904109584</v>
      </c>
      <c r="H126">
        <v>66257</v>
      </c>
      <c r="I126">
        <v>106630</v>
      </c>
      <c r="J126">
        <v>66257</v>
      </c>
      <c r="K126">
        <v>0.93752303061991915</v>
      </c>
      <c r="L126">
        <f ca="1">IFERROR(__xludf.DUMMYFUNCTION("""COMPUTED_VALUE"""),264)</f>
        <v>264</v>
      </c>
      <c r="M126">
        <v>292</v>
      </c>
      <c r="N126">
        <v>66257</v>
      </c>
      <c r="O126">
        <f t="shared" ca="1" si="4"/>
        <v>0.90410958904109584</v>
      </c>
    </row>
    <row r="127" spans="1:15" x14ac:dyDescent="0.2">
      <c r="A127" t="str">
        <f ca="1">IFERROR(__xludf.DUMMYFUNCTION("""COMPUTED_VALUE"""),"km")</f>
        <v>km</v>
      </c>
      <c r="B127" t="str">
        <f ca="1">IFERROR(__xludf.DUMMYFUNCTION("""COMPUTED_VALUE"""),"Model S 85")</f>
        <v>Model S 85</v>
      </c>
      <c r="D127">
        <f ca="1">IFERROR(__xludf.DUMMYFUNCTION("""COMPUTED_VALUE"""),178200)</f>
        <v>178200</v>
      </c>
      <c r="E127">
        <f ca="1">IFERROR(__xludf.DUMMYFUNCTION("""COMPUTED_VALUE"""),387)</f>
        <v>387</v>
      </c>
      <c r="F127">
        <v>428</v>
      </c>
      <c r="G127">
        <v>0.90420560747663548</v>
      </c>
      <c r="H127">
        <v>110728</v>
      </c>
      <c r="I127">
        <v>178200</v>
      </c>
      <c r="J127">
        <v>110728</v>
      </c>
      <c r="K127">
        <v>0.90830990861805305</v>
      </c>
      <c r="L127">
        <f t="shared" ref="L127:M129" ca="1" si="13">E127*0.621371</f>
        <v>240.47057699999999</v>
      </c>
      <c r="M127">
        <f t="shared" si="13"/>
        <v>265.94678800000003</v>
      </c>
      <c r="N127">
        <v>110728</v>
      </c>
      <c r="O127">
        <f t="shared" ca="1" si="4"/>
        <v>0.90420560747663536</v>
      </c>
    </row>
    <row r="128" spans="1:15" x14ac:dyDescent="0.2">
      <c r="A128" t="str">
        <f ca="1">IFERROR(__xludf.DUMMYFUNCTION("""COMPUTED_VALUE"""),"km")</f>
        <v>km</v>
      </c>
      <c r="B128" t="str">
        <f ca="1">IFERROR(__xludf.DUMMYFUNCTION("""COMPUTED_VALUE"""),"Model 3 SR+")</f>
        <v>Model 3 SR+</v>
      </c>
      <c r="C128">
        <f ca="1">IFERROR(__xludf.DUMMYFUNCTION("""COMPUTED_VALUE"""),380)</f>
        <v>380</v>
      </c>
      <c r="D128">
        <f ca="1">IFERROR(__xludf.DUMMYFUNCTION("""COMPUTED_VALUE"""),82546)</f>
        <v>82546</v>
      </c>
      <c r="E128">
        <f ca="1">IFERROR(__xludf.DUMMYFUNCTION("""COMPUTED_VALUE"""),345)</f>
        <v>345</v>
      </c>
      <c r="F128">
        <v>381</v>
      </c>
      <c r="G128">
        <v>0.90551181102362199</v>
      </c>
      <c r="H128">
        <v>51292</v>
      </c>
      <c r="I128">
        <v>82546</v>
      </c>
      <c r="J128">
        <v>51292</v>
      </c>
      <c r="K128">
        <v>0.94972291778689422</v>
      </c>
      <c r="L128">
        <f t="shared" ca="1" si="13"/>
        <v>214.372995</v>
      </c>
      <c r="M128">
        <f t="shared" si="13"/>
        <v>236.74235100000001</v>
      </c>
      <c r="N128">
        <v>51292</v>
      </c>
      <c r="O128">
        <f t="shared" ca="1" si="4"/>
        <v>0.90551181102362199</v>
      </c>
    </row>
    <row r="129" spans="1:15" x14ac:dyDescent="0.2">
      <c r="A129" t="str">
        <f ca="1">IFERROR(__xludf.DUMMYFUNCTION("""COMPUTED_VALUE"""),"km")</f>
        <v>km</v>
      </c>
      <c r="B129" t="str">
        <f ca="1">IFERROR(__xludf.DUMMYFUNCTION("""COMPUTED_VALUE"""),"Model 3 P")</f>
        <v>Model 3 P</v>
      </c>
      <c r="C129">
        <f ca="1">IFERROR(__xludf.DUMMYFUNCTION("""COMPUTED_VALUE"""),499)</f>
        <v>499</v>
      </c>
      <c r="D129">
        <f ca="1">IFERROR(__xludf.DUMMYFUNCTION("""COMPUTED_VALUE"""),4189)</f>
        <v>4189</v>
      </c>
      <c r="E129">
        <f ca="1">IFERROR(__xludf.DUMMYFUNCTION("""COMPUTED_VALUE"""),452)</f>
        <v>452</v>
      </c>
      <c r="F129">
        <v>499</v>
      </c>
      <c r="G129">
        <v>0.905811623246493</v>
      </c>
      <c r="H129">
        <v>2603</v>
      </c>
      <c r="I129">
        <v>4189</v>
      </c>
      <c r="J129">
        <v>2603</v>
      </c>
      <c r="K129">
        <v>0.99714499981352889</v>
      </c>
      <c r="L129">
        <f t="shared" ca="1" si="13"/>
        <v>280.859692</v>
      </c>
      <c r="M129">
        <f t="shared" si="13"/>
        <v>310.06412899999998</v>
      </c>
      <c r="N129">
        <v>2603</v>
      </c>
      <c r="O129">
        <f t="shared" ca="1" si="4"/>
        <v>0.905811623246493</v>
      </c>
    </row>
    <row r="130" spans="1:15" x14ac:dyDescent="0.2">
      <c r="A130" t="str">
        <f ca="1">IFERROR(__xludf.DUMMYFUNCTION("""COMPUTED_VALUE"""),"mi")</f>
        <v>mi</v>
      </c>
      <c r="B130" t="str">
        <f ca="1">IFERROR(__xludf.DUMMYFUNCTION("""COMPUTED_VALUE"""),"Model S P85")</f>
        <v>Model S P85</v>
      </c>
      <c r="C130">
        <f ca="1">IFERROR(__xludf.DUMMYFUNCTION("""COMPUTED_VALUE"""),260)</f>
        <v>260</v>
      </c>
      <c r="D130">
        <f ca="1">IFERROR(__xludf.DUMMYFUNCTION("""COMPUTED_VALUE"""),127195)</f>
        <v>127195</v>
      </c>
      <c r="E130">
        <f ca="1">IFERROR(__xludf.DUMMYFUNCTION("""COMPUTED_VALUE"""),241)</f>
        <v>241</v>
      </c>
      <c r="F130">
        <v>266</v>
      </c>
      <c r="G130">
        <v>0.90601503759398494</v>
      </c>
      <c r="H130">
        <v>127195</v>
      </c>
      <c r="I130">
        <v>204701</v>
      </c>
      <c r="J130">
        <v>127195</v>
      </c>
      <c r="K130">
        <v>0.90029239795788274</v>
      </c>
      <c r="L130">
        <f ca="1">IFERROR(__xludf.DUMMYFUNCTION("""COMPUTED_VALUE"""),241)</f>
        <v>241</v>
      </c>
      <c r="M130">
        <v>266</v>
      </c>
      <c r="N130">
        <v>127195</v>
      </c>
      <c r="O130">
        <f t="shared" ref="O130:O193" ca="1" si="14">L130/M130</f>
        <v>0.90601503759398494</v>
      </c>
    </row>
    <row r="131" spans="1:15" x14ac:dyDescent="0.2">
      <c r="A131" t="str">
        <f ca="1">IFERROR(__xludf.DUMMYFUNCTION("""COMPUTED_VALUE"""),"mi")</f>
        <v>mi</v>
      </c>
      <c r="B131" t="str">
        <f ca="1">IFERROR(__xludf.DUMMYFUNCTION("""COMPUTED_VALUE"""),"Model S 85")</f>
        <v>Model S 85</v>
      </c>
      <c r="D131">
        <f ca="1">IFERROR(__xludf.DUMMYFUNCTION("""COMPUTED_VALUE"""),194298)</f>
        <v>194298</v>
      </c>
      <c r="E131">
        <f ca="1">IFERROR(__xludf.DUMMYFUNCTION("""COMPUTED_VALUE"""),241)</f>
        <v>241</v>
      </c>
      <c r="F131">
        <v>266</v>
      </c>
      <c r="G131">
        <v>0.90601503759398494</v>
      </c>
      <c r="H131">
        <v>194298</v>
      </c>
      <c r="I131">
        <v>312692</v>
      </c>
      <c r="J131">
        <v>194298</v>
      </c>
      <c r="K131">
        <v>0.8845394507197728</v>
      </c>
      <c r="L131">
        <f ca="1">IFERROR(__xludf.DUMMYFUNCTION("""COMPUTED_VALUE"""),241)</f>
        <v>241</v>
      </c>
      <c r="M131">
        <v>266</v>
      </c>
      <c r="N131">
        <v>194298</v>
      </c>
      <c r="O131">
        <f t="shared" ca="1" si="14"/>
        <v>0.90601503759398494</v>
      </c>
    </row>
    <row r="132" spans="1:15" x14ac:dyDescent="0.2">
      <c r="A132" t="str">
        <f ca="1">IFERROR(__xludf.DUMMYFUNCTION("""COMPUTED_VALUE"""),"km")</f>
        <v>km</v>
      </c>
      <c r="B132" t="str">
        <f ca="1">IFERROR(__xludf.DUMMYFUNCTION("""COMPUTED_VALUE"""),"Model S 90D")</f>
        <v>Model S 90D</v>
      </c>
      <c r="D132">
        <f ca="1">IFERROR(__xludf.DUMMYFUNCTION("""COMPUTED_VALUE"""),170450)</f>
        <v>170450</v>
      </c>
      <c r="E132">
        <f ca="1">IFERROR(__xludf.DUMMYFUNCTION("""COMPUTED_VALUE"""),405)</f>
        <v>405</v>
      </c>
      <c r="F132">
        <v>447</v>
      </c>
      <c r="G132">
        <v>0.90604026845637586</v>
      </c>
      <c r="H132">
        <v>105913</v>
      </c>
      <c r="I132">
        <v>170450</v>
      </c>
      <c r="J132">
        <v>105913</v>
      </c>
      <c r="K132">
        <v>0.91094741348137487</v>
      </c>
      <c r="L132">
        <f ca="1">E132*0.621371</f>
        <v>251.65525500000001</v>
      </c>
      <c r="M132">
        <f>F132*0.621371</f>
        <v>277.752837</v>
      </c>
      <c r="N132">
        <v>105913</v>
      </c>
      <c r="O132">
        <f t="shared" ca="1" si="14"/>
        <v>0.90604026845637586</v>
      </c>
    </row>
    <row r="133" spans="1:15" x14ac:dyDescent="0.2">
      <c r="A133" t="str">
        <f ca="1">IFERROR(__xludf.DUMMYFUNCTION("""COMPUTED_VALUE"""),"km")</f>
        <v>km</v>
      </c>
      <c r="B133" t="str">
        <f ca="1">IFERROR(__xludf.DUMMYFUNCTION("""COMPUTED_VALUE"""),"Model X 100D")</f>
        <v>Model X 100D</v>
      </c>
      <c r="D133">
        <f ca="1">IFERROR(__xludf.DUMMYFUNCTION("""COMPUTED_VALUE"""),105122)</f>
        <v>105122</v>
      </c>
      <c r="E133">
        <f ca="1">IFERROR(__xludf.DUMMYFUNCTION("""COMPUTED_VALUE"""),406)</f>
        <v>406</v>
      </c>
      <c r="F133">
        <v>448</v>
      </c>
      <c r="G133">
        <v>0.90625</v>
      </c>
      <c r="H133">
        <v>65320</v>
      </c>
      <c r="I133">
        <v>105122</v>
      </c>
      <c r="J133">
        <v>65320</v>
      </c>
      <c r="K133">
        <v>0.93825286522678408</v>
      </c>
      <c r="L133">
        <f ca="1">E133*0.621371</f>
        <v>252.27662599999999</v>
      </c>
      <c r="M133">
        <f>F133*0.621371</f>
        <v>278.37420800000001</v>
      </c>
      <c r="N133">
        <v>65320</v>
      </c>
      <c r="O133">
        <f t="shared" ca="1" si="14"/>
        <v>0.90624999999999989</v>
      </c>
    </row>
    <row r="134" spans="1:15" x14ac:dyDescent="0.2">
      <c r="A134" t="str">
        <f ca="1">IFERROR(__xludf.DUMMYFUNCTION("""COMPUTED_VALUE"""),"mi")</f>
        <v>mi</v>
      </c>
      <c r="B134" t="str">
        <f ca="1">IFERROR(__xludf.DUMMYFUNCTION("""COMPUTED_VALUE"""),"Model S P90D")</f>
        <v>Model S P90D</v>
      </c>
      <c r="D134">
        <f ca="1">IFERROR(__xludf.DUMMYFUNCTION("""COMPUTED_VALUE"""),74600)</f>
        <v>74600</v>
      </c>
      <c r="E134">
        <f ca="1">IFERROR(__xludf.DUMMYFUNCTION("""COMPUTED_VALUE"""),232)</f>
        <v>232</v>
      </c>
      <c r="F134">
        <v>256</v>
      </c>
      <c r="G134">
        <v>0.90625</v>
      </c>
      <c r="H134">
        <v>74600</v>
      </c>
      <c r="I134">
        <v>120057</v>
      </c>
      <c r="J134">
        <v>74600</v>
      </c>
      <c r="K134">
        <v>0.93122813272696692</v>
      </c>
      <c r="L134">
        <f ca="1">IFERROR(__xludf.DUMMYFUNCTION("""COMPUTED_VALUE"""),232)</f>
        <v>232</v>
      </c>
      <c r="M134">
        <v>256</v>
      </c>
      <c r="N134">
        <v>74600</v>
      </c>
      <c r="O134">
        <f t="shared" ca="1" si="14"/>
        <v>0.90625</v>
      </c>
    </row>
    <row r="135" spans="1:15" x14ac:dyDescent="0.2">
      <c r="A135" t="str">
        <f ca="1">IFERROR(__xludf.DUMMYFUNCTION("""COMPUTED_VALUE"""),"km")</f>
        <v>km</v>
      </c>
      <c r="B135" t="str">
        <f ca="1">IFERROR(__xludf.DUMMYFUNCTION("""COMPUTED_VALUE"""),"Model S P85")</f>
        <v>Model S P85</v>
      </c>
      <c r="C135">
        <f ca="1">IFERROR(__xludf.DUMMYFUNCTION("""COMPUTED_VALUE"""),422)</f>
        <v>422</v>
      </c>
      <c r="D135">
        <f ca="1">IFERROR(__xludf.DUMMYFUNCTION("""COMPUTED_VALUE"""),226197)</f>
        <v>226197</v>
      </c>
      <c r="E135">
        <f ca="1">IFERROR(__xludf.DUMMYFUNCTION("""COMPUTED_VALUE"""),358)</f>
        <v>358</v>
      </c>
      <c r="F135">
        <v>395</v>
      </c>
      <c r="G135">
        <v>0.90632911392405058</v>
      </c>
      <c r="H135">
        <v>140552</v>
      </c>
      <c r="I135">
        <v>226197</v>
      </c>
      <c r="J135">
        <v>140552</v>
      </c>
      <c r="K135">
        <v>0.89495164176533337</v>
      </c>
      <c r="L135">
        <f t="shared" ref="L135:M137" ca="1" si="15">E135*0.621371</f>
        <v>222.450818</v>
      </c>
      <c r="M135">
        <f t="shared" si="15"/>
        <v>245.44154499999999</v>
      </c>
      <c r="N135">
        <v>140552</v>
      </c>
      <c r="O135">
        <f t="shared" ca="1" si="14"/>
        <v>0.90632911392405069</v>
      </c>
    </row>
    <row r="136" spans="1:15" x14ac:dyDescent="0.2">
      <c r="A136" t="str">
        <f ca="1">IFERROR(__xludf.DUMMYFUNCTION("""COMPUTED_VALUE"""),"km")</f>
        <v>km</v>
      </c>
      <c r="B136" t="str">
        <f ca="1">IFERROR(__xludf.DUMMYFUNCTION("""COMPUTED_VALUE"""),"Model S P85+")</f>
        <v>Model S P85+</v>
      </c>
      <c r="C136">
        <f ca="1">IFERROR(__xludf.DUMMYFUNCTION("""COMPUTED_VALUE"""),395)</f>
        <v>395</v>
      </c>
      <c r="D136">
        <f ca="1">IFERROR(__xludf.DUMMYFUNCTION("""COMPUTED_VALUE"""),171255)</f>
        <v>171255</v>
      </c>
      <c r="E136">
        <f ca="1">IFERROR(__xludf.DUMMYFUNCTION("""COMPUTED_VALUE"""),358)</f>
        <v>358</v>
      </c>
      <c r="F136">
        <v>395</v>
      </c>
      <c r="G136">
        <v>0.90632911392405058</v>
      </c>
      <c r="H136">
        <v>106413</v>
      </c>
      <c r="I136">
        <v>171255</v>
      </c>
      <c r="J136">
        <v>106413</v>
      </c>
      <c r="K136">
        <v>0.91066736316801022</v>
      </c>
      <c r="L136">
        <f t="shared" ca="1" si="15"/>
        <v>222.450818</v>
      </c>
      <c r="M136">
        <f t="shared" si="15"/>
        <v>245.44154499999999</v>
      </c>
      <c r="N136">
        <v>106413</v>
      </c>
      <c r="O136">
        <f t="shared" ca="1" si="14"/>
        <v>0.90632911392405069</v>
      </c>
    </row>
    <row r="137" spans="1:15" x14ac:dyDescent="0.2">
      <c r="A137" t="str">
        <f ca="1">IFERROR(__xludf.DUMMYFUNCTION("""COMPUTED_VALUE"""),"km")</f>
        <v>km</v>
      </c>
      <c r="B137" t="str">
        <f ca="1">IFERROR(__xludf.DUMMYFUNCTION("""COMPUTED_VALUE"""),"Model S P85")</f>
        <v>Model S P85</v>
      </c>
      <c r="C137">
        <f ca="1">IFERROR(__xludf.DUMMYFUNCTION("""COMPUTED_VALUE"""),400)</f>
        <v>400</v>
      </c>
      <c r="D137">
        <f ca="1">IFERROR(__xludf.DUMMYFUNCTION("""COMPUTED_VALUE"""),211500)</f>
        <v>211500</v>
      </c>
      <c r="E137">
        <f ca="1">IFERROR(__xludf.DUMMYFUNCTION("""COMPUTED_VALUE"""),358)</f>
        <v>358</v>
      </c>
      <c r="F137">
        <v>395</v>
      </c>
      <c r="G137">
        <v>0.90632911392405058</v>
      </c>
      <c r="H137">
        <v>131420</v>
      </c>
      <c r="I137">
        <v>211500</v>
      </c>
      <c r="J137">
        <v>131420</v>
      </c>
      <c r="K137">
        <v>0.89848914572252192</v>
      </c>
      <c r="L137">
        <f t="shared" ca="1" si="15"/>
        <v>222.450818</v>
      </c>
      <c r="M137">
        <f t="shared" si="15"/>
        <v>245.44154499999999</v>
      </c>
      <c r="N137">
        <v>131420</v>
      </c>
      <c r="O137">
        <f t="shared" ca="1" si="14"/>
        <v>0.90632911392405069</v>
      </c>
    </row>
    <row r="138" spans="1:15" x14ac:dyDescent="0.2">
      <c r="A138" t="str">
        <f ca="1">IFERROR(__xludf.DUMMYFUNCTION("""COMPUTED_VALUE"""),"mi")</f>
        <v>mi</v>
      </c>
      <c r="B138" t="str">
        <f ca="1">IFERROR(__xludf.DUMMYFUNCTION("""COMPUTED_VALUE"""),"Model 3 LR AWD")</f>
        <v>Model 3 LR AWD</v>
      </c>
      <c r="C138">
        <f ca="1">IFERROR(__xludf.DUMMYFUNCTION("""COMPUTED_VALUE"""),310)</f>
        <v>310</v>
      </c>
      <c r="D138">
        <f ca="1">IFERROR(__xludf.DUMMYFUNCTION("""COMPUTED_VALUE"""),66548)</f>
        <v>66548</v>
      </c>
      <c r="E138">
        <f ca="1">IFERROR(__xludf.DUMMYFUNCTION("""COMPUTED_VALUE"""),281)</f>
        <v>281</v>
      </c>
      <c r="F138">
        <v>310</v>
      </c>
      <c r="G138">
        <v>0.90645161290322585</v>
      </c>
      <c r="H138">
        <v>66548</v>
      </c>
      <c r="I138">
        <v>107099</v>
      </c>
      <c r="J138">
        <v>66548</v>
      </c>
      <c r="K138">
        <v>0.93729698228592495</v>
      </c>
      <c r="L138">
        <f ca="1">IFERROR(__xludf.DUMMYFUNCTION("""COMPUTED_VALUE"""),281)</f>
        <v>281</v>
      </c>
      <c r="M138">
        <v>310</v>
      </c>
      <c r="N138">
        <v>66548</v>
      </c>
      <c r="O138">
        <f t="shared" ca="1" si="14"/>
        <v>0.90645161290322585</v>
      </c>
    </row>
    <row r="139" spans="1:15" x14ac:dyDescent="0.2">
      <c r="A139" t="str">
        <f ca="1">IFERROR(__xludf.DUMMYFUNCTION("""COMPUTED_VALUE"""),"mi")</f>
        <v>mi</v>
      </c>
      <c r="B139" t="str">
        <f ca="1">IFERROR(__xludf.DUMMYFUNCTION("""COMPUTED_VALUE"""),"Model S 75")</f>
        <v>Model S 75</v>
      </c>
      <c r="C139">
        <f ca="1">IFERROR(__xludf.DUMMYFUNCTION("""COMPUTED_VALUE"""),249)</f>
        <v>249</v>
      </c>
      <c r="D139">
        <f ca="1">IFERROR(__xludf.DUMMYFUNCTION("""COMPUTED_VALUE"""),53185)</f>
        <v>53185</v>
      </c>
      <c r="E139">
        <f ca="1">IFERROR(__xludf.DUMMYFUNCTION("""COMPUTED_VALUE"""),223)</f>
        <v>223</v>
      </c>
      <c r="F139">
        <v>246</v>
      </c>
      <c r="G139">
        <v>0.9065040650406504</v>
      </c>
      <c r="H139">
        <v>53185</v>
      </c>
      <c r="I139">
        <v>85593</v>
      </c>
      <c r="J139">
        <v>53185</v>
      </c>
      <c r="K139">
        <v>0.94811580228997039</v>
      </c>
      <c r="L139">
        <f ca="1">IFERROR(__xludf.DUMMYFUNCTION("""COMPUTED_VALUE"""),223)</f>
        <v>223</v>
      </c>
      <c r="M139">
        <v>246</v>
      </c>
      <c r="N139">
        <v>53185</v>
      </c>
      <c r="O139">
        <f t="shared" ca="1" si="14"/>
        <v>0.9065040650406504</v>
      </c>
    </row>
    <row r="140" spans="1:15" x14ac:dyDescent="0.2">
      <c r="A140" t="str">
        <f ca="1">IFERROR(__xludf.DUMMYFUNCTION("""COMPUTED_VALUE"""),"km")</f>
        <v>km</v>
      </c>
      <c r="B140" t="str">
        <f ca="1">IFERROR(__xludf.DUMMYFUNCTION("""COMPUTED_VALUE"""),"Model S 85")</f>
        <v>Model S 85</v>
      </c>
      <c r="D140">
        <f ca="1">IFERROR(__xludf.DUMMYFUNCTION("""COMPUTED_VALUE"""),139000)</f>
        <v>139000</v>
      </c>
      <c r="E140">
        <f ca="1">IFERROR(__xludf.DUMMYFUNCTION("""COMPUTED_VALUE"""),388)</f>
        <v>388</v>
      </c>
      <c r="F140">
        <v>428</v>
      </c>
      <c r="G140">
        <v>0.90654205607476634</v>
      </c>
      <c r="H140">
        <v>86371</v>
      </c>
      <c r="I140">
        <v>139000</v>
      </c>
      <c r="J140">
        <v>86371</v>
      </c>
      <c r="K140">
        <v>0.92297731014196271</v>
      </c>
      <c r="L140">
        <f t="shared" ref="L140:M142" ca="1" si="16">E140*0.621371</f>
        <v>241.091948</v>
      </c>
      <c r="M140">
        <f t="shared" si="16"/>
        <v>265.94678800000003</v>
      </c>
      <c r="N140">
        <v>86371</v>
      </c>
      <c r="O140">
        <f t="shared" ca="1" si="14"/>
        <v>0.90654205607476623</v>
      </c>
    </row>
    <row r="141" spans="1:15" x14ac:dyDescent="0.2">
      <c r="A141" t="str">
        <f ca="1">IFERROR(__xludf.DUMMYFUNCTION("""COMPUTED_VALUE"""),"km")</f>
        <v>km</v>
      </c>
      <c r="B141" t="str">
        <f ca="1">IFERROR(__xludf.DUMMYFUNCTION("""COMPUTED_VALUE"""),"Model X 90D")</f>
        <v>Model X 90D</v>
      </c>
      <c r="C141">
        <f ca="1">IFERROR(__xludf.DUMMYFUNCTION("""COMPUTED_VALUE"""),390)</f>
        <v>390</v>
      </c>
      <c r="D141">
        <f ca="1">IFERROR(__xludf.DUMMYFUNCTION("""COMPUTED_VALUE"""),129890)</f>
        <v>129890</v>
      </c>
      <c r="E141">
        <f ca="1">IFERROR(__xludf.DUMMYFUNCTION("""COMPUTED_VALUE"""),363)</f>
        <v>363</v>
      </c>
      <c r="F141">
        <v>400</v>
      </c>
      <c r="G141">
        <v>0.90749999999999997</v>
      </c>
      <c r="H141">
        <v>80710</v>
      </c>
      <c r="I141">
        <v>129890</v>
      </c>
      <c r="J141">
        <v>80710</v>
      </c>
      <c r="K141">
        <v>0.92685240335748453</v>
      </c>
      <c r="L141">
        <f t="shared" ca="1" si="16"/>
        <v>225.55767299999999</v>
      </c>
      <c r="M141">
        <f t="shared" si="16"/>
        <v>248.54840000000002</v>
      </c>
      <c r="N141">
        <v>80710</v>
      </c>
      <c r="O141">
        <f t="shared" ca="1" si="14"/>
        <v>0.90749999999999997</v>
      </c>
    </row>
    <row r="142" spans="1:15" x14ac:dyDescent="0.2">
      <c r="A142" t="str">
        <f ca="1">IFERROR(__xludf.DUMMYFUNCTION("""COMPUTED_VALUE"""),"km")</f>
        <v>km</v>
      </c>
      <c r="B142" t="str">
        <f ca="1">IFERROR(__xludf.DUMMYFUNCTION("""COMPUTED_VALUE"""),"Model X P90D")</f>
        <v>Model X P90D</v>
      </c>
      <c r="D142">
        <f ca="1">IFERROR(__xludf.DUMMYFUNCTION("""COMPUTED_VALUE"""),113000)</f>
        <v>113000</v>
      </c>
      <c r="E142">
        <f ca="1">IFERROR(__xludf.DUMMYFUNCTION("""COMPUTED_VALUE"""),344)</f>
        <v>344</v>
      </c>
      <c r="F142">
        <v>379</v>
      </c>
      <c r="G142">
        <v>0.90765171503957787</v>
      </c>
      <c r="H142">
        <v>70215</v>
      </c>
      <c r="I142">
        <v>113000</v>
      </c>
      <c r="J142">
        <v>70215</v>
      </c>
      <c r="K142">
        <v>0.93449088232901856</v>
      </c>
      <c r="L142">
        <f t="shared" ca="1" si="16"/>
        <v>213.75162399999999</v>
      </c>
      <c r="M142">
        <f t="shared" si="16"/>
        <v>235.49960899999999</v>
      </c>
      <c r="N142">
        <v>70215</v>
      </c>
      <c r="O142">
        <f t="shared" ca="1" si="14"/>
        <v>0.90765171503957787</v>
      </c>
    </row>
    <row r="143" spans="1:15" x14ac:dyDescent="0.2">
      <c r="A143" t="str">
        <f ca="1">IFERROR(__xludf.DUMMYFUNCTION("""COMPUTED_VALUE"""),"mi")</f>
        <v>mi</v>
      </c>
      <c r="B143" t="str">
        <f ca="1">IFERROR(__xludf.DUMMYFUNCTION("""COMPUTED_VALUE"""),"Model 3 LR")</f>
        <v>Model 3 LR</v>
      </c>
      <c r="C143">
        <f ca="1">IFERROR(__xludf.DUMMYFUNCTION("""COMPUTED_VALUE"""),310)</f>
        <v>310</v>
      </c>
      <c r="D143">
        <f ca="1">IFERROR(__xludf.DUMMYFUNCTION("""COMPUTED_VALUE"""),137383)</f>
        <v>137383</v>
      </c>
      <c r="E143">
        <f ca="1">IFERROR(__xludf.DUMMYFUNCTION("""COMPUTED_VALUE"""),295)</f>
        <v>295</v>
      </c>
      <c r="F143">
        <v>325</v>
      </c>
      <c r="G143">
        <v>0.90769230769230769</v>
      </c>
      <c r="H143">
        <v>137383</v>
      </c>
      <c r="I143">
        <v>221097</v>
      </c>
      <c r="J143">
        <v>137383</v>
      </c>
      <c r="K143">
        <v>0.89612299516089178</v>
      </c>
      <c r="L143">
        <f ca="1">IFERROR(__xludf.DUMMYFUNCTION("""COMPUTED_VALUE"""),295)</f>
        <v>295</v>
      </c>
      <c r="M143">
        <v>325</v>
      </c>
      <c r="N143">
        <v>137383</v>
      </c>
      <c r="O143">
        <f t="shared" ca="1" si="14"/>
        <v>0.90769230769230769</v>
      </c>
    </row>
    <row r="144" spans="1:15" x14ac:dyDescent="0.2">
      <c r="A144" t="str">
        <f ca="1">IFERROR(__xludf.DUMMYFUNCTION("""COMPUTED_VALUE"""),"km")</f>
        <v>km</v>
      </c>
      <c r="B144" t="str">
        <f ca="1">IFERROR(__xludf.DUMMYFUNCTION("""COMPUTED_VALUE"""),"Model S 75D")</f>
        <v>Model S 75D</v>
      </c>
      <c r="D144">
        <f ca="1">IFERROR(__xludf.DUMMYFUNCTION("""COMPUTED_VALUE"""),121947)</f>
        <v>121947</v>
      </c>
      <c r="E144">
        <f ca="1">IFERROR(__xludf.DUMMYFUNCTION("""COMPUTED_VALUE"""),349)</f>
        <v>349</v>
      </c>
      <c r="F144">
        <v>384</v>
      </c>
      <c r="G144">
        <v>0.90885416666666663</v>
      </c>
      <c r="H144">
        <v>75774</v>
      </c>
      <c r="I144">
        <v>121947</v>
      </c>
      <c r="J144">
        <v>75774</v>
      </c>
      <c r="K144">
        <v>0.93037161173218985</v>
      </c>
      <c r="L144">
        <f t="shared" ref="L144:M149" ca="1" si="17">E144*0.621371</f>
        <v>216.85847899999999</v>
      </c>
      <c r="M144">
        <f t="shared" si="17"/>
        <v>238.60646400000002</v>
      </c>
      <c r="N144">
        <v>75774</v>
      </c>
      <c r="O144">
        <f t="shared" ca="1" si="14"/>
        <v>0.90885416666666652</v>
      </c>
    </row>
    <row r="145" spans="1:15" x14ac:dyDescent="0.2">
      <c r="A145" t="str">
        <f ca="1">IFERROR(__xludf.DUMMYFUNCTION("""COMPUTED_VALUE"""),"km")</f>
        <v>km</v>
      </c>
      <c r="B145" t="str">
        <f ca="1">IFERROR(__xludf.DUMMYFUNCTION("""COMPUTED_VALUE"""),"Model S 85")</f>
        <v>Model S 85</v>
      </c>
      <c r="D145">
        <f ca="1">IFERROR(__xludf.DUMMYFUNCTION("""COMPUTED_VALUE"""),178000)</f>
        <v>178000</v>
      </c>
      <c r="E145">
        <f ca="1">IFERROR(__xludf.DUMMYFUNCTION("""COMPUTED_VALUE"""),359)</f>
        <v>359</v>
      </c>
      <c r="F145">
        <v>395</v>
      </c>
      <c r="G145">
        <v>0.90886075949367084</v>
      </c>
      <c r="H145">
        <v>110604</v>
      </c>
      <c r="I145">
        <v>178000</v>
      </c>
      <c r="J145">
        <v>110604</v>
      </c>
      <c r="K145">
        <v>0.90837632417074088</v>
      </c>
      <c r="L145">
        <f t="shared" ca="1" si="17"/>
        <v>223.07218900000001</v>
      </c>
      <c r="M145">
        <f t="shared" si="17"/>
        <v>245.44154499999999</v>
      </c>
      <c r="N145">
        <v>110604</v>
      </c>
      <c r="O145">
        <f t="shared" ca="1" si="14"/>
        <v>0.90886075949367096</v>
      </c>
    </row>
    <row r="146" spans="1:15" x14ac:dyDescent="0.2">
      <c r="A146" t="str">
        <f ca="1">IFERROR(__xludf.DUMMYFUNCTION("""COMPUTED_VALUE"""),"km")</f>
        <v>km</v>
      </c>
      <c r="B146" t="str">
        <f ca="1">IFERROR(__xludf.DUMMYFUNCTION("""COMPUTED_VALUE"""),"Model S 85")</f>
        <v>Model S 85</v>
      </c>
      <c r="D146">
        <f ca="1">IFERROR(__xludf.DUMMYFUNCTION("""COMPUTED_VALUE"""),100000)</f>
        <v>100000</v>
      </c>
      <c r="E146">
        <f ca="1">IFERROR(__xludf.DUMMYFUNCTION("""COMPUTED_VALUE"""),359)</f>
        <v>359</v>
      </c>
      <c r="F146">
        <v>395</v>
      </c>
      <c r="G146">
        <v>0.90886075949367084</v>
      </c>
      <c r="H146">
        <v>62137</v>
      </c>
      <c r="I146">
        <v>100000</v>
      </c>
      <c r="J146">
        <v>62137</v>
      </c>
      <c r="K146">
        <v>0.94076597629758174</v>
      </c>
      <c r="L146">
        <f t="shared" ca="1" si="17"/>
        <v>223.07218900000001</v>
      </c>
      <c r="M146">
        <f t="shared" si="17"/>
        <v>245.44154499999999</v>
      </c>
      <c r="N146">
        <v>62137</v>
      </c>
      <c r="O146">
        <f t="shared" ca="1" si="14"/>
        <v>0.90886075949367096</v>
      </c>
    </row>
    <row r="147" spans="1:15" x14ac:dyDescent="0.2">
      <c r="A147" t="str">
        <f ca="1">IFERROR(__xludf.DUMMYFUNCTION("""COMPUTED_VALUE"""),"km")</f>
        <v>km</v>
      </c>
      <c r="B147" t="str">
        <f ca="1">IFERROR(__xludf.DUMMYFUNCTION("""COMPUTED_VALUE"""),"Model S P85")</f>
        <v>Model S P85</v>
      </c>
      <c r="C147">
        <f ca="1">IFERROR(__xludf.DUMMYFUNCTION("""COMPUTED_VALUE"""),394)</f>
        <v>394</v>
      </c>
      <c r="D147">
        <f ca="1">IFERROR(__xludf.DUMMYFUNCTION("""COMPUTED_VALUE"""),92000)</f>
        <v>92000</v>
      </c>
      <c r="E147">
        <f ca="1">IFERROR(__xludf.DUMMYFUNCTION("""COMPUTED_VALUE"""),359)</f>
        <v>359</v>
      </c>
      <c r="F147">
        <v>395</v>
      </c>
      <c r="G147">
        <v>0.90886075949367084</v>
      </c>
      <c r="H147">
        <v>57166</v>
      </c>
      <c r="I147">
        <v>92000</v>
      </c>
      <c r="J147">
        <v>57166</v>
      </c>
      <c r="K147">
        <v>0.94479628662552917</v>
      </c>
      <c r="L147">
        <f t="shared" ca="1" si="17"/>
        <v>223.07218900000001</v>
      </c>
      <c r="M147">
        <f t="shared" si="17"/>
        <v>245.44154499999999</v>
      </c>
      <c r="N147">
        <v>57166</v>
      </c>
      <c r="O147">
        <f t="shared" ca="1" si="14"/>
        <v>0.90886075949367096</v>
      </c>
    </row>
    <row r="148" spans="1:15" x14ac:dyDescent="0.2">
      <c r="A148" t="str">
        <f ca="1">IFERROR(__xludf.DUMMYFUNCTION("""COMPUTED_VALUE"""),"km")</f>
        <v>km</v>
      </c>
      <c r="B148" t="str">
        <f ca="1">IFERROR(__xludf.DUMMYFUNCTION("""COMPUTED_VALUE"""),"Model S 85")</f>
        <v>Model S 85</v>
      </c>
      <c r="C148">
        <f ca="1">IFERROR(__xludf.DUMMYFUNCTION("""COMPUTED_VALUE"""),400)</f>
        <v>400</v>
      </c>
      <c r="D148">
        <f ca="1">IFERROR(__xludf.DUMMYFUNCTION("""COMPUTED_VALUE"""),79470)</f>
        <v>79470</v>
      </c>
      <c r="E148">
        <f ca="1">IFERROR(__xludf.DUMMYFUNCTION("""COMPUTED_VALUE"""),359)</f>
        <v>359</v>
      </c>
      <c r="F148">
        <v>395</v>
      </c>
      <c r="G148">
        <v>0.90886075949367084</v>
      </c>
      <c r="H148">
        <v>49380</v>
      </c>
      <c r="I148">
        <v>79470</v>
      </c>
      <c r="J148">
        <v>49380</v>
      </c>
      <c r="K148">
        <v>0.9513638369149866</v>
      </c>
      <c r="L148">
        <f t="shared" ca="1" si="17"/>
        <v>223.07218900000001</v>
      </c>
      <c r="M148">
        <f t="shared" si="17"/>
        <v>245.44154499999999</v>
      </c>
      <c r="N148">
        <v>49380</v>
      </c>
      <c r="O148">
        <f t="shared" ca="1" si="14"/>
        <v>0.90886075949367096</v>
      </c>
    </row>
    <row r="149" spans="1:15" x14ac:dyDescent="0.2">
      <c r="A149" t="str">
        <f ca="1">IFERROR(__xludf.DUMMYFUNCTION("""COMPUTED_VALUE"""),"km")</f>
        <v>km</v>
      </c>
      <c r="B149" t="str">
        <f ca="1">IFERROR(__xludf.DUMMYFUNCTION("""COMPUTED_VALUE"""),"Model S 85")</f>
        <v>Model S 85</v>
      </c>
      <c r="C149">
        <f ca="1">IFERROR(__xludf.DUMMYFUNCTION("""COMPUTED_VALUE"""),426)</f>
        <v>426</v>
      </c>
      <c r="D149">
        <f ca="1">IFERROR(__xludf.DUMMYFUNCTION("""COMPUTED_VALUE"""),82059)</f>
        <v>82059</v>
      </c>
      <c r="E149">
        <f ca="1">IFERROR(__xludf.DUMMYFUNCTION("""COMPUTED_VALUE"""),389)</f>
        <v>389</v>
      </c>
      <c r="F149">
        <v>428</v>
      </c>
      <c r="G149">
        <v>0.90887850467289721</v>
      </c>
      <c r="H149">
        <v>50989</v>
      </c>
      <c r="I149">
        <v>82059</v>
      </c>
      <c r="J149">
        <v>50989</v>
      </c>
      <c r="K149">
        <v>0.94998147487334339</v>
      </c>
      <c r="L149">
        <f t="shared" ca="1" si="17"/>
        <v>241.71331900000001</v>
      </c>
      <c r="M149">
        <f t="shared" si="17"/>
        <v>265.94678800000003</v>
      </c>
      <c r="N149">
        <v>50989</v>
      </c>
      <c r="O149">
        <f t="shared" ca="1" si="14"/>
        <v>0.9088785046728971</v>
      </c>
    </row>
    <row r="150" spans="1:15" x14ac:dyDescent="0.2">
      <c r="A150" t="str">
        <f ca="1">IFERROR(__xludf.DUMMYFUNCTION("""COMPUTED_VALUE"""),"mi")</f>
        <v>mi</v>
      </c>
      <c r="B150" t="str">
        <f ca="1">IFERROR(__xludf.DUMMYFUNCTION("""COMPUTED_VALUE"""),"Model 3 LR AWD")</f>
        <v>Model 3 LR AWD</v>
      </c>
      <c r="C150">
        <f ca="1">IFERROR(__xludf.DUMMYFUNCTION("""COMPUTED_VALUE"""),310)</f>
        <v>310</v>
      </c>
      <c r="D150">
        <f ca="1">IFERROR(__xludf.DUMMYFUNCTION("""COMPUTED_VALUE"""),79089)</f>
        <v>79089</v>
      </c>
      <c r="E150">
        <f ca="1">IFERROR(__xludf.DUMMYFUNCTION("""COMPUTED_VALUE"""),282)</f>
        <v>282</v>
      </c>
      <c r="F150">
        <v>310</v>
      </c>
      <c r="G150">
        <v>0.9096774193548387</v>
      </c>
      <c r="H150">
        <v>79089</v>
      </c>
      <c r="I150">
        <v>127281</v>
      </c>
      <c r="J150">
        <v>79089</v>
      </c>
      <c r="K150">
        <v>0.92799396828344793</v>
      </c>
      <c r="L150">
        <f ca="1">IFERROR(__xludf.DUMMYFUNCTION("""COMPUTED_VALUE"""),282)</f>
        <v>282</v>
      </c>
      <c r="M150">
        <v>310</v>
      </c>
      <c r="N150">
        <v>79089</v>
      </c>
      <c r="O150">
        <f t="shared" ca="1" si="14"/>
        <v>0.9096774193548387</v>
      </c>
    </row>
    <row r="151" spans="1:15" x14ac:dyDescent="0.2">
      <c r="A151" t="str">
        <f ca="1">IFERROR(__xludf.DUMMYFUNCTION("""COMPUTED_VALUE"""),"mi")</f>
        <v>mi</v>
      </c>
      <c r="B151" t="str">
        <f ca="1">IFERROR(__xludf.DUMMYFUNCTION("""COMPUTED_VALUE"""),"Model 3 LR AWD")</f>
        <v>Model 3 LR AWD</v>
      </c>
      <c r="C151">
        <f ca="1">IFERROR(__xludf.DUMMYFUNCTION("""COMPUTED_VALUE"""),310)</f>
        <v>310</v>
      </c>
      <c r="D151">
        <f ca="1">IFERROR(__xludf.DUMMYFUNCTION("""COMPUTED_VALUE"""),79100)</f>
        <v>79100</v>
      </c>
      <c r="E151">
        <f ca="1">IFERROR(__xludf.DUMMYFUNCTION("""COMPUTED_VALUE"""),282)</f>
        <v>282</v>
      </c>
      <c r="F151">
        <v>310</v>
      </c>
      <c r="G151">
        <v>0.9096774193548387</v>
      </c>
      <c r="H151">
        <v>79100</v>
      </c>
      <c r="I151">
        <v>127299</v>
      </c>
      <c r="J151">
        <v>79100</v>
      </c>
      <c r="K151">
        <v>0.92798604413866781</v>
      </c>
      <c r="L151">
        <f ca="1">IFERROR(__xludf.DUMMYFUNCTION("""COMPUTED_VALUE"""),282)</f>
        <v>282</v>
      </c>
      <c r="M151">
        <v>310</v>
      </c>
      <c r="N151">
        <v>79100</v>
      </c>
      <c r="O151">
        <f t="shared" ca="1" si="14"/>
        <v>0.9096774193548387</v>
      </c>
    </row>
    <row r="152" spans="1:15" x14ac:dyDescent="0.2">
      <c r="A152" t="str">
        <f ca="1">IFERROR(__xludf.DUMMYFUNCTION("""COMPUTED_VALUE"""),"mi")</f>
        <v>mi</v>
      </c>
      <c r="B152" t="str">
        <f ca="1">IFERROR(__xludf.DUMMYFUNCTION("""COMPUTED_VALUE"""),"Model 3 LR AWD")</f>
        <v>Model 3 LR AWD</v>
      </c>
      <c r="C152">
        <f ca="1">IFERROR(__xludf.DUMMYFUNCTION("""COMPUTED_VALUE"""),310)</f>
        <v>310</v>
      </c>
      <c r="D152">
        <f ca="1">IFERROR(__xludf.DUMMYFUNCTION("""COMPUTED_VALUE"""),117240)</f>
        <v>117240</v>
      </c>
      <c r="E152">
        <f ca="1">IFERROR(__xludf.DUMMYFUNCTION("""COMPUTED_VALUE"""),282)</f>
        <v>282</v>
      </c>
      <c r="F152">
        <v>310</v>
      </c>
      <c r="G152">
        <v>0.9096774193548387</v>
      </c>
      <c r="H152">
        <v>117240</v>
      </c>
      <c r="I152">
        <v>188679</v>
      </c>
      <c r="J152">
        <v>117240</v>
      </c>
      <c r="K152">
        <v>0.90495312503447289</v>
      </c>
      <c r="L152">
        <f ca="1">IFERROR(__xludf.DUMMYFUNCTION("""COMPUTED_VALUE"""),282)</f>
        <v>282</v>
      </c>
      <c r="M152">
        <v>310</v>
      </c>
      <c r="N152">
        <v>117240</v>
      </c>
      <c r="O152">
        <f t="shared" ca="1" si="14"/>
        <v>0.9096774193548387</v>
      </c>
    </row>
    <row r="153" spans="1:15" x14ac:dyDescent="0.2">
      <c r="A153" t="str">
        <f ca="1">IFERROR(__xludf.DUMMYFUNCTION("""COMPUTED_VALUE"""),"mi")</f>
        <v>mi</v>
      </c>
      <c r="B153" t="str">
        <f ca="1">IFERROR(__xludf.DUMMYFUNCTION("""COMPUTED_VALUE"""),"Model S 85")</f>
        <v>Model S 85</v>
      </c>
      <c r="C153">
        <f ca="1">IFERROR(__xludf.DUMMYFUNCTION("""COMPUTED_VALUE"""),271)</f>
        <v>271</v>
      </c>
      <c r="D153">
        <f ca="1">IFERROR(__xludf.DUMMYFUNCTION("""COMPUTED_VALUE"""),151000)</f>
        <v>151000</v>
      </c>
      <c r="E153">
        <f ca="1">IFERROR(__xludf.DUMMYFUNCTION("""COMPUTED_VALUE"""),242)</f>
        <v>242</v>
      </c>
      <c r="F153">
        <v>266</v>
      </c>
      <c r="G153">
        <v>0.90977443609022557</v>
      </c>
      <c r="H153">
        <v>151000</v>
      </c>
      <c r="I153">
        <v>243011</v>
      </c>
      <c r="J153">
        <v>151000</v>
      </c>
      <c r="K153">
        <v>0.89151796767190183</v>
      </c>
      <c r="L153">
        <f ca="1">IFERROR(__xludf.DUMMYFUNCTION("""COMPUTED_VALUE"""),242)</f>
        <v>242</v>
      </c>
      <c r="M153">
        <v>266</v>
      </c>
      <c r="N153">
        <v>151000</v>
      </c>
      <c r="O153">
        <f t="shared" ca="1" si="14"/>
        <v>0.90977443609022557</v>
      </c>
    </row>
    <row r="154" spans="1:15" x14ac:dyDescent="0.2">
      <c r="A154" t="str">
        <f ca="1">IFERROR(__xludf.DUMMYFUNCTION("""COMPUTED_VALUE"""),"mi")</f>
        <v>mi</v>
      </c>
      <c r="B154" t="str">
        <f ca="1">IFERROR(__xludf.DUMMYFUNCTION("""COMPUTED_VALUE"""),"Model S 85")</f>
        <v>Model S 85</v>
      </c>
      <c r="C154">
        <f ca="1">IFERROR(__xludf.DUMMYFUNCTION("""COMPUTED_VALUE"""),262)</f>
        <v>262</v>
      </c>
      <c r="D154">
        <f ca="1">IFERROR(__xludf.DUMMYFUNCTION("""COMPUTED_VALUE"""),114306)</f>
        <v>114306</v>
      </c>
      <c r="E154">
        <f ca="1">IFERROR(__xludf.DUMMYFUNCTION("""COMPUTED_VALUE"""),242)</f>
        <v>242</v>
      </c>
      <c r="F154">
        <v>266</v>
      </c>
      <c r="G154">
        <v>0.90977443609022557</v>
      </c>
      <c r="H154">
        <v>114306</v>
      </c>
      <c r="I154">
        <v>183958</v>
      </c>
      <c r="J154">
        <v>114306</v>
      </c>
      <c r="K154">
        <v>0.90643546301117495</v>
      </c>
      <c r="L154">
        <f ca="1">IFERROR(__xludf.DUMMYFUNCTION("""COMPUTED_VALUE"""),242)</f>
        <v>242</v>
      </c>
      <c r="M154">
        <v>266</v>
      </c>
      <c r="N154">
        <v>114306</v>
      </c>
      <c r="O154">
        <f t="shared" ca="1" si="14"/>
        <v>0.90977443609022557</v>
      </c>
    </row>
    <row r="155" spans="1:15" x14ac:dyDescent="0.2">
      <c r="A155" t="str">
        <f ca="1">IFERROR(__xludf.DUMMYFUNCTION("""COMPUTED_VALUE"""),"km")</f>
        <v>km</v>
      </c>
      <c r="B155" t="str">
        <f ca="1">IFERROR(__xludf.DUMMYFUNCTION("""COMPUTED_VALUE"""),"Model 3 P")</f>
        <v>Model 3 P</v>
      </c>
      <c r="D155">
        <f ca="1">IFERROR(__xludf.DUMMYFUNCTION("""COMPUTED_VALUE"""),39419)</f>
        <v>39419</v>
      </c>
      <c r="E155">
        <f ca="1">IFERROR(__xludf.DUMMYFUNCTION("""COMPUTED_VALUE"""),454)</f>
        <v>454</v>
      </c>
      <c r="F155">
        <v>499</v>
      </c>
      <c r="G155">
        <v>0.90981963927855714</v>
      </c>
      <c r="H155">
        <v>24494</v>
      </c>
      <c r="I155">
        <v>39419</v>
      </c>
      <c r="J155">
        <v>24494</v>
      </c>
      <c r="K155">
        <v>0.97439742682105868</v>
      </c>
      <c r="L155">
        <f t="shared" ref="L155:M157" ca="1" si="18">E155*0.621371</f>
        <v>282.10243400000002</v>
      </c>
      <c r="M155">
        <f t="shared" si="18"/>
        <v>310.06412899999998</v>
      </c>
      <c r="N155">
        <v>24494</v>
      </c>
      <c r="O155">
        <f t="shared" ca="1" si="14"/>
        <v>0.90981963927855725</v>
      </c>
    </row>
    <row r="156" spans="1:15" x14ac:dyDescent="0.2">
      <c r="A156" t="str">
        <f ca="1">IFERROR(__xludf.DUMMYFUNCTION("""COMPUTED_VALUE"""),"km")</f>
        <v>km</v>
      </c>
      <c r="B156" t="str">
        <f ca="1">IFERROR(__xludf.DUMMYFUNCTION("""COMPUTED_VALUE"""),"Model 3 P")</f>
        <v>Model 3 P</v>
      </c>
      <c r="C156">
        <f ca="1">IFERROR(__xludf.DUMMYFUNCTION("""COMPUTED_VALUE"""),499)</f>
        <v>499</v>
      </c>
      <c r="D156">
        <f ca="1">IFERROR(__xludf.DUMMYFUNCTION("""COMPUTED_VALUE"""),38500)</f>
        <v>38500</v>
      </c>
      <c r="E156">
        <f ca="1">IFERROR(__xludf.DUMMYFUNCTION("""COMPUTED_VALUE"""),454)</f>
        <v>454</v>
      </c>
      <c r="F156">
        <v>499</v>
      </c>
      <c r="G156">
        <v>0.90981963927855714</v>
      </c>
      <c r="H156">
        <v>23923</v>
      </c>
      <c r="I156">
        <v>38500</v>
      </c>
      <c r="J156">
        <v>23923</v>
      </c>
      <c r="K156">
        <v>0.9749617084871085</v>
      </c>
      <c r="L156">
        <f t="shared" ca="1" si="18"/>
        <v>282.10243400000002</v>
      </c>
      <c r="M156">
        <f t="shared" si="18"/>
        <v>310.06412899999998</v>
      </c>
      <c r="N156">
        <v>23923</v>
      </c>
      <c r="O156">
        <f t="shared" ca="1" si="14"/>
        <v>0.90981963927855725</v>
      </c>
    </row>
    <row r="157" spans="1:15" x14ac:dyDescent="0.2">
      <c r="A157" t="str">
        <f ca="1">IFERROR(__xludf.DUMMYFUNCTION("""COMPUTED_VALUE"""),"km")</f>
        <v>km</v>
      </c>
      <c r="B157" t="str">
        <f ca="1">IFERROR(__xludf.DUMMYFUNCTION("""COMPUTED_VALUE"""),"Model X 90D")</f>
        <v>Model X 90D</v>
      </c>
      <c r="C157">
        <f ca="1">IFERROR(__xludf.DUMMYFUNCTION("""COMPUTED_VALUE"""),390)</f>
        <v>390</v>
      </c>
      <c r="D157">
        <f ca="1">IFERROR(__xludf.DUMMYFUNCTION("""COMPUTED_VALUE"""),92000)</f>
        <v>92000</v>
      </c>
      <c r="E157">
        <f ca="1">IFERROR(__xludf.DUMMYFUNCTION("""COMPUTED_VALUE"""),364)</f>
        <v>364</v>
      </c>
      <c r="F157">
        <v>400</v>
      </c>
      <c r="G157">
        <v>0.91</v>
      </c>
      <c r="H157">
        <v>57166</v>
      </c>
      <c r="I157">
        <v>92000</v>
      </c>
      <c r="J157">
        <v>57166</v>
      </c>
      <c r="K157">
        <v>0.94479628662552917</v>
      </c>
      <c r="L157">
        <f t="shared" ca="1" si="18"/>
        <v>226.179044</v>
      </c>
      <c r="M157">
        <f t="shared" si="18"/>
        <v>248.54840000000002</v>
      </c>
      <c r="N157">
        <v>57166</v>
      </c>
      <c r="O157">
        <f t="shared" ca="1" si="14"/>
        <v>0.90999999999999992</v>
      </c>
    </row>
    <row r="158" spans="1:15" x14ac:dyDescent="0.2">
      <c r="A158" t="str">
        <f ca="1">IFERROR(__xludf.DUMMYFUNCTION("""COMPUTED_VALUE"""),"mi")</f>
        <v>mi</v>
      </c>
      <c r="B158" t="str">
        <f ca="1">IFERROR(__xludf.DUMMYFUNCTION("""COMPUTED_VALUE"""),"Model S 85")</f>
        <v>Model S 85</v>
      </c>
      <c r="D158">
        <f ca="1">IFERROR(__xludf.DUMMYFUNCTION("""COMPUTED_VALUE"""),92236)</f>
        <v>92236</v>
      </c>
      <c r="E158">
        <f ca="1">IFERROR(__xludf.DUMMYFUNCTION("""COMPUTED_VALUE"""),223)</f>
        <v>223</v>
      </c>
      <c r="F158">
        <v>245</v>
      </c>
      <c r="G158">
        <v>0.91020408163265309</v>
      </c>
      <c r="H158">
        <v>92236</v>
      </c>
      <c r="I158">
        <v>148439</v>
      </c>
      <c r="J158">
        <v>92236</v>
      </c>
      <c r="K158">
        <v>0.91914573446901793</v>
      </c>
      <c r="L158">
        <f ca="1">IFERROR(__xludf.DUMMYFUNCTION("""COMPUTED_VALUE"""),223)</f>
        <v>223</v>
      </c>
      <c r="M158">
        <v>245</v>
      </c>
      <c r="N158">
        <v>92236</v>
      </c>
      <c r="O158">
        <f t="shared" ca="1" si="14"/>
        <v>0.91020408163265309</v>
      </c>
    </row>
    <row r="159" spans="1:15" x14ac:dyDescent="0.2">
      <c r="A159" t="str">
        <f ca="1">IFERROR(__xludf.DUMMYFUNCTION("""COMPUTED_VALUE"""),"km")</f>
        <v>km</v>
      </c>
      <c r="B159" t="str">
        <f ca="1">IFERROR(__xludf.DUMMYFUNCTION("""COMPUTED_VALUE"""),"Model 3 SR+")</f>
        <v>Model 3 SR+</v>
      </c>
      <c r="C159">
        <f ca="1">IFERROR(__xludf.DUMMYFUNCTION("""COMPUTED_VALUE"""),381)</f>
        <v>381</v>
      </c>
      <c r="D159">
        <f ca="1">IFERROR(__xludf.DUMMYFUNCTION("""COMPUTED_VALUE"""),75257)</f>
        <v>75257</v>
      </c>
      <c r="E159">
        <f ca="1">IFERROR(__xludf.DUMMYFUNCTION("""COMPUTED_VALUE"""),347)</f>
        <v>347</v>
      </c>
      <c r="F159">
        <v>381</v>
      </c>
      <c r="G159">
        <v>0.91076115485564302</v>
      </c>
      <c r="H159">
        <v>46763</v>
      </c>
      <c r="I159">
        <v>75257</v>
      </c>
      <c r="J159">
        <v>46763</v>
      </c>
      <c r="K159">
        <v>0.95364135701420383</v>
      </c>
      <c r="L159">
        <f ca="1">E159*0.621371</f>
        <v>215.615737</v>
      </c>
      <c r="M159">
        <f>F159*0.621371</f>
        <v>236.74235100000001</v>
      </c>
      <c r="N159">
        <v>46763</v>
      </c>
      <c r="O159">
        <f t="shared" ca="1" si="14"/>
        <v>0.91076115485564302</v>
      </c>
    </row>
    <row r="160" spans="1:15" x14ac:dyDescent="0.2">
      <c r="A160" t="str">
        <f ca="1">IFERROR(__xludf.DUMMYFUNCTION("""COMPUTED_VALUE"""),"mi")</f>
        <v>mi</v>
      </c>
      <c r="B160" t="str">
        <f ca="1">IFERROR(__xludf.DUMMYFUNCTION("""COMPUTED_VALUE"""),"Model 3 LR")</f>
        <v>Model 3 LR</v>
      </c>
      <c r="C160">
        <f ca="1">IFERROR(__xludf.DUMMYFUNCTION("""COMPUTED_VALUE"""),310)</f>
        <v>310</v>
      </c>
      <c r="D160">
        <f ca="1">IFERROR(__xludf.DUMMYFUNCTION("""COMPUTED_VALUE"""),17243)</f>
        <v>17243</v>
      </c>
      <c r="E160">
        <f ca="1">IFERROR(__xludf.DUMMYFUNCTION("""COMPUTED_VALUE"""),296)</f>
        <v>296</v>
      </c>
      <c r="F160">
        <v>325</v>
      </c>
      <c r="G160">
        <v>0.91076923076923078</v>
      </c>
      <c r="H160">
        <v>17243</v>
      </c>
      <c r="I160">
        <v>27750</v>
      </c>
      <c r="J160">
        <v>17243</v>
      </c>
      <c r="K160">
        <v>0.98167921236069211</v>
      </c>
      <c r="L160">
        <f ca="1">IFERROR(__xludf.DUMMYFUNCTION("""COMPUTED_VALUE"""),296)</f>
        <v>296</v>
      </c>
      <c r="M160">
        <v>325</v>
      </c>
      <c r="N160">
        <v>17243</v>
      </c>
      <c r="O160">
        <f t="shared" ca="1" si="14"/>
        <v>0.91076923076923078</v>
      </c>
    </row>
    <row r="161" spans="1:15" x14ac:dyDescent="0.2">
      <c r="A161" t="str">
        <f ca="1">IFERROR(__xludf.DUMMYFUNCTION("""COMPUTED_VALUE"""),"mi")</f>
        <v>mi</v>
      </c>
      <c r="B161" t="str">
        <f ca="1">IFERROR(__xludf.DUMMYFUNCTION("""COMPUTED_VALUE"""),"Model S 90D")</f>
        <v>Model S 90D</v>
      </c>
      <c r="C161">
        <f ca="1">IFERROR(__xludf.DUMMYFUNCTION("""COMPUTED_VALUE"""),297)</f>
        <v>297</v>
      </c>
      <c r="D161">
        <f ca="1">IFERROR(__xludf.DUMMYFUNCTION("""COMPUTED_VALUE"""),70220)</f>
        <v>70220</v>
      </c>
      <c r="E161">
        <f ca="1">IFERROR(__xludf.DUMMYFUNCTION("""COMPUTED_VALUE"""),266)</f>
        <v>266</v>
      </c>
      <c r="F161">
        <v>292</v>
      </c>
      <c r="G161">
        <v>0.91095890410958902</v>
      </c>
      <c r="H161">
        <v>70220</v>
      </c>
      <c r="I161">
        <v>113008</v>
      </c>
      <c r="J161">
        <v>70220</v>
      </c>
      <c r="K161">
        <v>0.93448712607256557</v>
      </c>
      <c r="L161">
        <f ca="1">IFERROR(__xludf.DUMMYFUNCTION("""COMPUTED_VALUE"""),266)</f>
        <v>266</v>
      </c>
      <c r="M161">
        <v>292</v>
      </c>
      <c r="N161">
        <v>70220</v>
      </c>
      <c r="O161">
        <f t="shared" ca="1" si="14"/>
        <v>0.91095890410958902</v>
      </c>
    </row>
    <row r="162" spans="1:15" x14ac:dyDescent="0.2">
      <c r="A162" t="str">
        <f ca="1">IFERROR(__xludf.DUMMYFUNCTION("""COMPUTED_VALUE"""),"km")</f>
        <v>km</v>
      </c>
      <c r="B162" t="str">
        <f ca="1">IFERROR(__xludf.DUMMYFUNCTION("""COMPUTED_VALUE"""),"Model S P85+")</f>
        <v>Model S P85+</v>
      </c>
      <c r="D162">
        <f ca="1">IFERROR(__xludf.DUMMYFUNCTION("""COMPUTED_VALUE"""),137000)</f>
        <v>137000</v>
      </c>
      <c r="E162">
        <f ca="1">IFERROR(__xludf.DUMMYFUNCTION("""COMPUTED_VALUE"""),360)</f>
        <v>360</v>
      </c>
      <c r="F162">
        <v>395</v>
      </c>
      <c r="G162">
        <v>0.91139240506329111</v>
      </c>
      <c r="H162">
        <v>85128</v>
      </c>
      <c r="I162">
        <v>137000</v>
      </c>
      <c r="J162">
        <v>85128</v>
      </c>
      <c r="K162">
        <v>0.92381320802521194</v>
      </c>
      <c r="L162">
        <f t="shared" ref="L162:M168" ca="1" si="19">E162*0.621371</f>
        <v>223.69355999999999</v>
      </c>
      <c r="M162">
        <f t="shared" si="19"/>
        <v>245.44154499999999</v>
      </c>
      <c r="N162">
        <v>85128</v>
      </c>
      <c r="O162">
        <f t="shared" ca="1" si="14"/>
        <v>0.91139240506329111</v>
      </c>
    </row>
    <row r="163" spans="1:15" x14ac:dyDescent="0.2">
      <c r="A163" t="str">
        <f ca="1">IFERROR(__xludf.DUMMYFUNCTION("""COMPUTED_VALUE"""),"km")</f>
        <v>km</v>
      </c>
      <c r="B163" t="str">
        <f ca="1">IFERROR(__xludf.DUMMYFUNCTION("""COMPUTED_VALUE"""),"Model S P85+")</f>
        <v>Model S P85+</v>
      </c>
      <c r="C163">
        <f ca="1">IFERROR(__xludf.DUMMYFUNCTION("""COMPUTED_VALUE"""),403)</f>
        <v>403</v>
      </c>
      <c r="D163">
        <f ca="1">IFERROR(__xludf.DUMMYFUNCTION("""COMPUTED_VALUE"""),273200)</f>
        <v>273200</v>
      </c>
      <c r="E163">
        <f ca="1">IFERROR(__xludf.DUMMYFUNCTION("""COMPUTED_VALUE"""),360)</f>
        <v>360</v>
      </c>
      <c r="F163">
        <v>395</v>
      </c>
      <c r="G163">
        <v>0.91139240506329111</v>
      </c>
      <c r="H163">
        <v>169759</v>
      </c>
      <c r="I163">
        <v>273200</v>
      </c>
      <c r="J163">
        <v>169759</v>
      </c>
      <c r="K163">
        <v>0.88703453661798259</v>
      </c>
      <c r="L163">
        <f t="shared" ca="1" si="19"/>
        <v>223.69355999999999</v>
      </c>
      <c r="M163">
        <f t="shared" si="19"/>
        <v>245.44154499999999</v>
      </c>
      <c r="N163">
        <v>169759</v>
      </c>
      <c r="O163">
        <f t="shared" ca="1" si="14"/>
        <v>0.91139240506329111</v>
      </c>
    </row>
    <row r="164" spans="1:15" x14ac:dyDescent="0.2">
      <c r="A164" t="str">
        <f ca="1">IFERROR(__xludf.DUMMYFUNCTION("""COMPUTED_VALUE"""),"km")</f>
        <v>km</v>
      </c>
      <c r="B164" t="str">
        <f ca="1">IFERROR(__xludf.DUMMYFUNCTION("""COMPUTED_VALUE"""),"Model S 85")</f>
        <v>Model S 85</v>
      </c>
      <c r="D164">
        <f ca="1">IFERROR(__xludf.DUMMYFUNCTION("""COMPUTED_VALUE"""),129000)</f>
        <v>129000</v>
      </c>
      <c r="E164">
        <f ca="1">IFERROR(__xludf.DUMMYFUNCTION("""COMPUTED_VALUE"""),360)</f>
        <v>360</v>
      </c>
      <c r="F164">
        <v>395</v>
      </c>
      <c r="G164">
        <v>0.91139240506329111</v>
      </c>
      <c r="H164">
        <v>80157</v>
      </c>
      <c r="I164">
        <v>129000</v>
      </c>
      <c r="J164">
        <v>80157</v>
      </c>
      <c r="K164">
        <v>0.92724023750332374</v>
      </c>
      <c r="L164">
        <f t="shared" ca="1" si="19"/>
        <v>223.69355999999999</v>
      </c>
      <c r="M164">
        <f t="shared" si="19"/>
        <v>245.44154499999999</v>
      </c>
      <c r="N164">
        <v>80157</v>
      </c>
      <c r="O164">
        <f t="shared" ca="1" si="14"/>
        <v>0.91139240506329111</v>
      </c>
    </row>
    <row r="165" spans="1:15" x14ac:dyDescent="0.2">
      <c r="A165" t="str">
        <f ca="1">IFERROR(__xludf.DUMMYFUNCTION("""COMPUTED_VALUE"""),"km")</f>
        <v>km</v>
      </c>
      <c r="B165" t="str">
        <f ca="1">IFERROR(__xludf.DUMMYFUNCTION("""COMPUTED_VALUE"""),"Model S P85")</f>
        <v>Model S P85</v>
      </c>
      <c r="C165">
        <f ca="1">IFERROR(__xludf.DUMMYFUNCTION("""COMPUTED_VALUE"""),400)</f>
        <v>400</v>
      </c>
      <c r="D165">
        <f ca="1">IFERROR(__xludf.DUMMYFUNCTION("""COMPUTED_VALUE"""),230000)</f>
        <v>230000</v>
      </c>
      <c r="E165">
        <f ca="1">IFERROR(__xludf.DUMMYFUNCTION("""COMPUTED_VALUE"""),360)</f>
        <v>360</v>
      </c>
      <c r="F165">
        <v>395</v>
      </c>
      <c r="G165">
        <v>0.91139240506329111</v>
      </c>
      <c r="H165">
        <v>142915</v>
      </c>
      <c r="I165">
        <v>230000</v>
      </c>
      <c r="J165">
        <v>142915</v>
      </c>
      <c r="K165">
        <v>0.89411732577043601</v>
      </c>
      <c r="L165">
        <f t="shared" ca="1" si="19"/>
        <v>223.69355999999999</v>
      </c>
      <c r="M165">
        <f t="shared" si="19"/>
        <v>245.44154499999999</v>
      </c>
      <c r="N165">
        <v>142915</v>
      </c>
      <c r="O165">
        <f t="shared" ca="1" si="14"/>
        <v>0.91139240506329111</v>
      </c>
    </row>
    <row r="166" spans="1:15" x14ac:dyDescent="0.2">
      <c r="A166" t="str">
        <f ca="1">IFERROR(__xludf.DUMMYFUNCTION("""COMPUTED_VALUE"""),"km")</f>
        <v>km</v>
      </c>
      <c r="B166" t="str">
        <f ca="1">IFERROR(__xludf.DUMMYFUNCTION("""COMPUTED_VALUE"""),"Model S 85")</f>
        <v>Model S 85</v>
      </c>
      <c r="D166">
        <f ca="1">IFERROR(__xludf.DUMMYFUNCTION("""COMPUTED_VALUE"""),65000)</f>
        <v>65000</v>
      </c>
      <c r="E166">
        <f ca="1">IFERROR(__xludf.DUMMYFUNCTION("""COMPUTED_VALUE"""),360)</f>
        <v>360</v>
      </c>
      <c r="F166">
        <v>395</v>
      </c>
      <c r="G166">
        <v>0.91139240506329111</v>
      </c>
      <c r="H166">
        <v>40389</v>
      </c>
      <c r="I166">
        <v>65000</v>
      </c>
      <c r="J166">
        <v>40389</v>
      </c>
      <c r="K166">
        <v>0.95933053929226175</v>
      </c>
      <c r="L166">
        <f t="shared" ca="1" si="19"/>
        <v>223.69355999999999</v>
      </c>
      <c r="M166">
        <f t="shared" si="19"/>
        <v>245.44154499999999</v>
      </c>
      <c r="N166">
        <v>40389</v>
      </c>
      <c r="O166">
        <f t="shared" ca="1" si="14"/>
        <v>0.91139240506329111</v>
      </c>
    </row>
    <row r="167" spans="1:15" x14ac:dyDescent="0.2">
      <c r="A167" t="str">
        <f ca="1">IFERROR(__xludf.DUMMYFUNCTION("""COMPUTED_VALUE"""),"km")</f>
        <v>km</v>
      </c>
      <c r="B167" t="str">
        <f ca="1">IFERROR(__xludf.DUMMYFUNCTION("""COMPUTED_VALUE"""),"Model S 75")</f>
        <v>Model S 75</v>
      </c>
      <c r="D167">
        <f ca="1">IFERROR(__xludf.DUMMYFUNCTION("""COMPUTED_VALUE"""),129080)</f>
        <v>129080</v>
      </c>
      <c r="E167">
        <f ca="1">IFERROR(__xludf.DUMMYFUNCTION("""COMPUTED_VALUE"""),342)</f>
        <v>342</v>
      </c>
      <c r="F167">
        <v>375</v>
      </c>
      <c r="G167">
        <v>0.91200000000000003</v>
      </c>
      <c r="H167">
        <v>80207</v>
      </c>
      <c r="I167">
        <v>129080</v>
      </c>
      <c r="J167">
        <v>80207</v>
      </c>
      <c r="K167">
        <v>0.92720530885670915</v>
      </c>
      <c r="L167">
        <f t="shared" ca="1" si="19"/>
        <v>212.508882</v>
      </c>
      <c r="M167">
        <f t="shared" si="19"/>
        <v>233.01412500000001</v>
      </c>
      <c r="N167">
        <v>80207</v>
      </c>
      <c r="O167">
        <f t="shared" ca="1" si="14"/>
        <v>0.91199999999999992</v>
      </c>
    </row>
    <row r="168" spans="1:15" x14ac:dyDescent="0.2">
      <c r="A168" t="str">
        <f ca="1">IFERROR(__xludf.DUMMYFUNCTION("""COMPUTED_VALUE"""),"km")</f>
        <v>km</v>
      </c>
      <c r="B168" t="str">
        <f ca="1">IFERROR(__xludf.DUMMYFUNCTION("""COMPUTED_VALUE"""),"Model X 90D")</f>
        <v>Model X 90D</v>
      </c>
      <c r="C168">
        <f ca="1">IFERROR(__xludf.DUMMYFUNCTION("""COMPUTED_VALUE"""),390)</f>
        <v>390</v>
      </c>
      <c r="D168">
        <f ca="1">IFERROR(__xludf.DUMMYFUNCTION("""COMPUTED_VALUE"""),101487)</f>
        <v>101487</v>
      </c>
      <c r="E168">
        <f ca="1">IFERROR(__xludf.DUMMYFUNCTION("""COMPUTED_VALUE"""),365)</f>
        <v>365</v>
      </c>
      <c r="F168">
        <v>400</v>
      </c>
      <c r="G168">
        <v>0.91249999999999998</v>
      </c>
      <c r="H168">
        <v>63061</v>
      </c>
      <c r="I168">
        <v>101487</v>
      </c>
      <c r="J168">
        <v>63061</v>
      </c>
      <c r="K168">
        <v>0.94003094777009877</v>
      </c>
      <c r="L168">
        <f t="shared" ca="1" si="19"/>
        <v>226.80041500000002</v>
      </c>
      <c r="M168">
        <f t="shared" si="19"/>
        <v>248.54840000000002</v>
      </c>
      <c r="N168">
        <v>63061</v>
      </c>
      <c r="O168">
        <f t="shared" ca="1" si="14"/>
        <v>0.91249999999999998</v>
      </c>
    </row>
    <row r="169" spans="1:15" x14ac:dyDescent="0.2">
      <c r="A169" t="str">
        <f ca="1">IFERROR(__xludf.DUMMYFUNCTION("""COMPUTED_VALUE"""),"mi")</f>
        <v>mi</v>
      </c>
      <c r="B169" t="str">
        <f ca="1">IFERROR(__xludf.DUMMYFUNCTION("""COMPUTED_VALUE"""),"Model S 60")</f>
        <v>Model S 60</v>
      </c>
      <c r="C169">
        <f ca="1">IFERROR(__xludf.DUMMYFUNCTION("""COMPUTED_VALUE"""),208)</f>
        <v>208</v>
      </c>
      <c r="D169">
        <f ca="1">IFERROR(__xludf.DUMMYFUNCTION("""COMPUTED_VALUE"""),15240)</f>
        <v>15240</v>
      </c>
      <c r="E169">
        <f ca="1">IFERROR(__xludf.DUMMYFUNCTION("""COMPUTED_VALUE"""),189)</f>
        <v>189</v>
      </c>
      <c r="F169">
        <v>207</v>
      </c>
      <c r="G169">
        <v>0.91304347826086951</v>
      </c>
      <c r="H169">
        <v>15240</v>
      </c>
      <c r="I169">
        <v>24526</v>
      </c>
      <c r="J169">
        <v>15240</v>
      </c>
      <c r="K169">
        <v>0.98373555879779184</v>
      </c>
      <c r="L169">
        <f ca="1">IFERROR(__xludf.DUMMYFUNCTION("""COMPUTED_VALUE"""),189)</f>
        <v>189</v>
      </c>
      <c r="M169">
        <v>207</v>
      </c>
      <c r="N169">
        <v>15240</v>
      </c>
      <c r="O169">
        <f t="shared" ca="1" si="14"/>
        <v>0.91304347826086951</v>
      </c>
    </row>
    <row r="170" spans="1:15" x14ac:dyDescent="0.2">
      <c r="A170" t="str">
        <f ca="1">IFERROR(__xludf.DUMMYFUNCTION("""COMPUTED_VALUE"""),"mi")</f>
        <v>mi</v>
      </c>
      <c r="B170" t="str">
        <f ca="1">IFERROR(__xludf.DUMMYFUNCTION("""COMPUTED_VALUE"""),"Model S P85")</f>
        <v>Model S P85</v>
      </c>
      <c r="C170">
        <f ca="1">IFERROR(__xludf.DUMMYFUNCTION("""COMPUTED_VALUE"""),260)</f>
        <v>260</v>
      </c>
      <c r="D170">
        <f ca="1">IFERROR(__xludf.DUMMYFUNCTION("""COMPUTED_VALUE"""),122030)</f>
        <v>122030</v>
      </c>
      <c r="E170">
        <f ca="1">IFERROR(__xludf.DUMMYFUNCTION("""COMPUTED_VALUE"""),243)</f>
        <v>243</v>
      </c>
      <c r="F170">
        <v>266</v>
      </c>
      <c r="G170">
        <v>0.9135338345864662</v>
      </c>
      <c r="H170">
        <v>122030</v>
      </c>
      <c r="I170">
        <v>196388</v>
      </c>
      <c r="J170">
        <v>122030</v>
      </c>
      <c r="K170">
        <v>0.90263893178105836</v>
      </c>
      <c r="L170">
        <f ca="1">IFERROR(__xludf.DUMMYFUNCTION("""COMPUTED_VALUE"""),243)</f>
        <v>243</v>
      </c>
      <c r="M170">
        <v>266</v>
      </c>
      <c r="N170">
        <v>122030</v>
      </c>
      <c r="O170">
        <f t="shared" ca="1" si="14"/>
        <v>0.9135338345864662</v>
      </c>
    </row>
    <row r="171" spans="1:15" x14ac:dyDescent="0.2">
      <c r="A171" t="str">
        <f ca="1">IFERROR(__xludf.DUMMYFUNCTION("""COMPUTED_VALUE"""),"mi")</f>
        <v>mi</v>
      </c>
      <c r="B171" t="str">
        <f ca="1">IFERROR(__xludf.DUMMYFUNCTION("""COMPUTED_VALUE"""),"Model S 85")</f>
        <v>Model S 85</v>
      </c>
      <c r="C171">
        <f ca="1">IFERROR(__xludf.DUMMYFUNCTION("""COMPUTED_VALUE"""),265)</f>
        <v>265</v>
      </c>
      <c r="D171">
        <f ca="1">IFERROR(__xludf.DUMMYFUNCTION("""COMPUTED_VALUE"""),82015)</f>
        <v>82015</v>
      </c>
      <c r="E171">
        <f ca="1">IFERROR(__xludf.DUMMYFUNCTION("""COMPUTED_VALUE"""),243)</f>
        <v>243</v>
      </c>
      <c r="F171">
        <v>266</v>
      </c>
      <c r="G171">
        <v>0.9135338345864662</v>
      </c>
      <c r="H171">
        <v>82015</v>
      </c>
      <c r="I171">
        <v>131990</v>
      </c>
      <c r="J171">
        <v>82015</v>
      </c>
      <c r="K171">
        <v>0.92594380299736567</v>
      </c>
      <c r="L171">
        <f ca="1">IFERROR(__xludf.DUMMYFUNCTION("""COMPUTED_VALUE"""),243)</f>
        <v>243</v>
      </c>
      <c r="M171">
        <v>266</v>
      </c>
      <c r="N171">
        <v>82015</v>
      </c>
      <c r="O171">
        <f t="shared" ca="1" si="14"/>
        <v>0.9135338345864662</v>
      </c>
    </row>
    <row r="172" spans="1:15" x14ac:dyDescent="0.2">
      <c r="A172" t="str">
        <f ca="1">IFERROR(__xludf.DUMMYFUNCTION("""COMPUTED_VALUE"""),"mi")</f>
        <v>mi</v>
      </c>
      <c r="B172" t="str">
        <f ca="1">IFERROR(__xludf.DUMMYFUNCTION("""COMPUTED_VALUE"""),"Model S P85")</f>
        <v>Model S P85</v>
      </c>
      <c r="C172">
        <f ca="1">IFERROR(__xludf.DUMMYFUNCTION("""COMPUTED_VALUE"""),260)</f>
        <v>260</v>
      </c>
      <c r="D172">
        <f ca="1">IFERROR(__xludf.DUMMYFUNCTION("""COMPUTED_VALUE"""),100112)</f>
        <v>100112</v>
      </c>
      <c r="E172">
        <f ca="1">IFERROR(__xludf.DUMMYFUNCTION("""COMPUTED_VALUE"""),243)</f>
        <v>243</v>
      </c>
      <c r="F172">
        <v>266</v>
      </c>
      <c r="G172">
        <v>0.9135338345864662</v>
      </c>
      <c r="H172">
        <v>100112</v>
      </c>
      <c r="I172">
        <v>161115</v>
      </c>
      <c r="J172">
        <v>100112</v>
      </c>
      <c r="K172">
        <v>0.91429740142518989</v>
      </c>
      <c r="L172">
        <f ca="1">IFERROR(__xludf.DUMMYFUNCTION("""COMPUTED_VALUE"""),243)</f>
        <v>243</v>
      </c>
      <c r="M172">
        <v>266</v>
      </c>
      <c r="N172">
        <v>100112</v>
      </c>
      <c r="O172">
        <f t="shared" ca="1" si="14"/>
        <v>0.9135338345864662</v>
      </c>
    </row>
    <row r="173" spans="1:15" x14ac:dyDescent="0.2">
      <c r="A173" t="str">
        <f ca="1">IFERROR(__xludf.DUMMYFUNCTION("""COMPUTED_VALUE"""),"mi")</f>
        <v>mi</v>
      </c>
      <c r="B173" t="str">
        <f ca="1">IFERROR(__xludf.DUMMYFUNCTION("""COMPUTED_VALUE"""),"Model S 85")</f>
        <v>Model S 85</v>
      </c>
      <c r="C173">
        <f ca="1">IFERROR(__xludf.DUMMYFUNCTION("""COMPUTED_VALUE"""),271)</f>
        <v>271</v>
      </c>
      <c r="D173">
        <f ca="1">IFERROR(__xludf.DUMMYFUNCTION("""COMPUTED_VALUE"""),142000)</f>
        <v>142000</v>
      </c>
      <c r="E173">
        <f ca="1">IFERROR(__xludf.DUMMYFUNCTION("""COMPUTED_VALUE"""),243)</f>
        <v>243</v>
      </c>
      <c r="F173">
        <v>266</v>
      </c>
      <c r="G173">
        <v>0.9135338345864662</v>
      </c>
      <c r="H173">
        <v>142000</v>
      </c>
      <c r="I173">
        <v>228527</v>
      </c>
      <c r="J173">
        <v>142000</v>
      </c>
      <c r="K173">
        <v>0.89443649858776964</v>
      </c>
      <c r="L173">
        <f ca="1">IFERROR(__xludf.DUMMYFUNCTION("""COMPUTED_VALUE"""),243)</f>
        <v>243</v>
      </c>
      <c r="M173">
        <v>266</v>
      </c>
      <c r="N173">
        <v>142000</v>
      </c>
      <c r="O173">
        <f t="shared" ca="1" si="14"/>
        <v>0.9135338345864662</v>
      </c>
    </row>
    <row r="174" spans="1:15" x14ac:dyDescent="0.2">
      <c r="A174" t="str">
        <f ca="1">IFERROR(__xludf.DUMMYFUNCTION("""COMPUTED_VALUE"""),"mi")</f>
        <v>mi</v>
      </c>
      <c r="B174" t="str">
        <f ca="1">IFERROR(__xludf.DUMMYFUNCTION("""COMPUTED_VALUE"""),"Model S 85")</f>
        <v>Model S 85</v>
      </c>
      <c r="D174">
        <f ca="1">IFERROR(__xludf.DUMMYFUNCTION("""COMPUTED_VALUE"""),67000)</f>
        <v>67000</v>
      </c>
      <c r="E174">
        <f ca="1">IFERROR(__xludf.DUMMYFUNCTION("""COMPUTED_VALUE"""),243)</f>
        <v>243</v>
      </c>
      <c r="F174">
        <v>266</v>
      </c>
      <c r="G174">
        <v>0.9135338345864662</v>
      </c>
      <c r="H174">
        <v>67000</v>
      </c>
      <c r="I174">
        <v>107826</v>
      </c>
      <c r="J174">
        <v>67000</v>
      </c>
      <c r="K174">
        <v>0.93694746193405243</v>
      </c>
      <c r="L174">
        <f ca="1">IFERROR(__xludf.DUMMYFUNCTION("""COMPUTED_VALUE"""),243)</f>
        <v>243</v>
      </c>
      <c r="M174">
        <v>266</v>
      </c>
      <c r="N174">
        <v>67000</v>
      </c>
      <c r="O174">
        <f t="shared" ca="1" si="14"/>
        <v>0.9135338345864662</v>
      </c>
    </row>
    <row r="175" spans="1:15" x14ac:dyDescent="0.2">
      <c r="A175" t="str">
        <f ca="1">IFERROR(__xludf.DUMMYFUNCTION("""COMPUTED_VALUE"""),"mi")</f>
        <v>mi</v>
      </c>
      <c r="B175" t="str">
        <f ca="1">IFERROR(__xludf.DUMMYFUNCTION("""COMPUTED_VALUE"""),"Model S P85")</f>
        <v>Model S P85</v>
      </c>
      <c r="D175">
        <f ca="1">IFERROR(__xludf.DUMMYFUNCTION("""COMPUTED_VALUE"""),45372)</f>
        <v>45372</v>
      </c>
      <c r="E175">
        <f ca="1">IFERROR(__xludf.DUMMYFUNCTION("""COMPUTED_VALUE"""),243)</f>
        <v>243</v>
      </c>
      <c r="F175">
        <v>266</v>
      </c>
      <c r="G175">
        <v>0.9135338345864662</v>
      </c>
      <c r="H175">
        <v>45372</v>
      </c>
      <c r="I175">
        <v>73019</v>
      </c>
      <c r="J175">
        <v>45372</v>
      </c>
      <c r="K175">
        <v>0.95486528589370845</v>
      </c>
      <c r="L175">
        <f ca="1">IFERROR(__xludf.DUMMYFUNCTION("""COMPUTED_VALUE"""),243)</f>
        <v>243</v>
      </c>
      <c r="M175">
        <v>266</v>
      </c>
      <c r="N175">
        <v>45372</v>
      </c>
      <c r="O175">
        <f t="shared" ca="1" si="14"/>
        <v>0.9135338345864662</v>
      </c>
    </row>
    <row r="176" spans="1:15" x14ac:dyDescent="0.2">
      <c r="A176" t="str">
        <f ca="1">IFERROR(__xludf.DUMMYFUNCTION("""COMPUTED_VALUE"""),"km")</f>
        <v>km</v>
      </c>
      <c r="B176" t="str">
        <f ca="1">IFERROR(__xludf.DUMMYFUNCTION("""COMPUTED_VALUE"""),"Model 3 P")</f>
        <v>Model 3 P</v>
      </c>
      <c r="D176">
        <f ca="1">IFERROR(__xludf.DUMMYFUNCTION("""COMPUTED_VALUE"""),26000)</f>
        <v>26000</v>
      </c>
      <c r="E176">
        <f ca="1">IFERROR(__xludf.DUMMYFUNCTION("""COMPUTED_VALUE"""),456)</f>
        <v>456</v>
      </c>
      <c r="F176">
        <v>499</v>
      </c>
      <c r="G176">
        <v>0.91382765531062127</v>
      </c>
      <c r="H176">
        <v>16156</v>
      </c>
      <c r="I176">
        <v>26000</v>
      </c>
      <c r="J176">
        <v>16156</v>
      </c>
      <c r="K176">
        <v>0.98279302793461221</v>
      </c>
      <c r="L176">
        <f t="shared" ref="L176:M183" ca="1" si="20">E176*0.621371</f>
        <v>283.34517599999998</v>
      </c>
      <c r="M176">
        <f t="shared" si="20"/>
        <v>310.06412899999998</v>
      </c>
      <c r="N176">
        <v>16156</v>
      </c>
      <c r="O176">
        <f t="shared" ca="1" si="14"/>
        <v>0.91382765531062127</v>
      </c>
    </row>
    <row r="177" spans="1:15" x14ac:dyDescent="0.2">
      <c r="A177" t="str">
        <f ca="1">IFERROR(__xludf.DUMMYFUNCTION("""COMPUTED_VALUE"""),"km")</f>
        <v>km</v>
      </c>
      <c r="B177" t="str">
        <f ca="1">IFERROR(__xludf.DUMMYFUNCTION("""COMPUTED_VALUE"""),"Model S 85")</f>
        <v>Model S 85</v>
      </c>
      <c r="D177">
        <f ca="1">IFERROR(__xludf.DUMMYFUNCTION("""COMPUTED_VALUE"""),160163)</f>
        <v>160163</v>
      </c>
      <c r="E177">
        <f ca="1">IFERROR(__xludf.DUMMYFUNCTION("""COMPUTED_VALUE"""),361)</f>
        <v>361</v>
      </c>
      <c r="F177">
        <v>395</v>
      </c>
      <c r="G177">
        <v>0.91392405063291138</v>
      </c>
      <c r="H177">
        <v>99521</v>
      </c>
      <c r="I177">
        <v>160163</v>
      </c>
      <c r="J177">
        <v>99521</v>
      </c>
      <c r="K177">
        <v>0.91464959408030055</v>
      </c>
      <c r="L177">
        <f t="shared" ca="1" si="20"/>
        <v>224.314931</v>
      </c>
      <c r="M177">
        <f t="shared" si="20"/>
        <v>245.44154499999999</v>
      </c>
      <c r="N177">
        <v>99521</v>
      </c>
      <c r="O177">
        <f t="shared" ca="1" si="14"/>
        <v>0.91392405063291138</v>
      </c>
    </row>
    <row r="178" spans="1:15" x14ac:dyDescent="0.2">
      <c r="A178" t="str">
        <f ca="1">IFERROR(__xludf.DUMMYFUNCTION("""COMPUTED_VALUE"""),"km")</f>
        <v>km</v>
      </c>
      <c r="B178" t="str">
        <f ca="1">IFERROR(__xludf.DUMMYFUNCTION("""COMPUTED_VALUE"""),"Model S P85+")</f>
        <v>Model S P85+</v>
      </c>
      <c r="C178">
        <f ca="1">IFERROR(__xludf.DUMMYFUNCTION("""COMPUTED_VALUE"""),400)</f>
        <v>400</v>
      </c>
      <c r="D178">
        <f ca="1">IFERROR(__xludf.DUMMYFUNCTION("""COMPUTED_VALUE"""),154610)</f>
        <v>154610</v>
      </c>
      <c r="E178">
        <f ca="1">IFERROR(__xludf.DUMMYFUNCTION("""COMPUTED_VALUE"""),361)</f>
        <v>361</v>
      </c>
      <c r="F178">
        <v>395</v>
      </c>
      <c r="G178">
        <v>0.91392405063291138</v>
      </c>
      <c r="H178">
        <v>96070</v>
      </c>
      <c r="I178">
        <v>154610</v>
      </c>
      <c r="J178">
        <v>96070</v>
      </c>
      <c r="K178">
        <v>0.91674262682814223</v>
      </c>
      <c r="L178">
        <f t="shared" ca="1" si="20"/>
        <v>224.314931</v>
      </c>
      <c r="M178">
        <f t="shared" si="20"/>
        <v>245.44154499999999</v>
      </c>
      <c r="N178">
        <v>96070</v>
      </c>
      <c r="O178">
        <f t="shared" ca="1" si="14"/>
        <v>0.91392405063291138</v>
      </c>
    </row>
    <row r="179" spans="1:15" x14ac:dyDescent="0.2">
      <c r="A179" t="str">
        <f ca="1">IFERROR(__xludf.DUMMYFUNCTION("""COMPUTED_VALUE"""),"km")</f>
        <v>km</v>
      </c>
      <c r="B179" t="str">
        <f ca="1">IFERROR(__xludf.DUMMYFUNCTION("""COMPUTED_VALUE"""),"Model S P85")</f>
        <v>Model S P85</v>
      </c>
      <c r="C179">
        <f ca="1">IFERROR(__xludf.DUMMYFUNCTION("""COMPUTED_VALUE"""),400)</f>
        <v>400</v>
      </c>
      <c r="D179">
        <f ca="1">IFERROR(__xludf.DUMMYFUNCTION("""COMPUTED_VALUE"""),222000)</f>
        <v>222000</v>
      </c>
      <c r="E179">
        <f ca="1">IFERROR(__xludf.DUMMYFUNCTION("""COMPUTED_VALUE"""),361)</f>
        <v>361</v>
      </c>
      <c r="F179">
        <v>395</v>
      </c>
      <c r="G179">
        <v>0.91392405063291138</v>
      </c>
      <c r="H179">
        <v>137944</v>
      </c>
      <c r="I179">
        <v>222000</v>
      </c>
      <c r="J179">
        <v>137944</v>
      </c>
      <c r="K179">
        <v>0.8959112281528645</v>
      </c>
      <c r="L179">
        <f t="shared" ca="1" si="20"/>
        <v>224.314931</v>
      </c>
      <c r="M179">
        <f t="shared" si="20"/>
        <v>245.44154499999999</v>
      </c>
      <c r="N179">
        <v>137944</v>
      </c>
      <c r="O179">
        <f t="shared" ca="1" si="14"/>
        <v>0.91392405063291138</v>
      </c>
    </row>
    <row r="180" spans="1:15" x14ac:dyDescent="0.2">
      <c r="A180" t="str">
        <f ca="1">IFERROR(__xludf.DUMMYFUNCTION("""COMPUTED_VALUE"""),"km")</f>
        <v>km</v>
      </c>
      <c r="B180" t="str">
        <f ca="1">IFERROR(__xludf.DUMMYFUNCTION("""COMPUTED_VALUE"""),"Model S 85")</f>
        <v>Model S 85</v>
      </c>
      <c r="D180">
        <f ca="1">IFERROR(__xludf.DUMMYFUNCTION("""COMPUTED_VALUE"""),46534)</f>
        <v>46534</v>
      </c>
      <c r="E180">
        <f ca="1">IFERROR(__xludf.DUMMYFUNCTION("""COMPUTED_VALUE"""),361)</f>
        <v>361</v>
      </c>
      <c r="F180">
        <v>395</v>
      </c>
      <c r="G180">
        <v>0.91392405063291138</v>
      </c>
      <c r="H180">
        <v>28915</v>
      </c>
      <c r="I180">
        <v>46534</v>
      </c>
      <c r="J180">
        <v>28915</v>
      </c>
      <c r="K180">
        <v>0.97008230856105215</v>
      </c>
      <c r="L180">
        <f t="shared" ca="1" si="20"/>
        <v>224.314931</v>
      </c>
      <c r="M180">
        <f t="shared" si="20"/>
        <v>245.44154499999999</v>
      </c>
      <c r="N180">
        <v>28915</v>
      </c>
      <c r="O180">
        <f t="shared" ca="1" si="14"/>
        <v>0.91392405063291138</v>
      </c>
    </row>
    <row r="181" spans="1:15" x14ac:dyDescent="0.2">
      <c r="A181" t="str">
        <f ca="1">IFERROR(__xludf.DUMMYFUNCTION("""COMPUTED_VALUE"""),"km")</f>
        <v>km</v>
      </c>
      <c r="B181" t="str">
        <f ca="1">IFERROR(__xludf.DUMMYFUNCTION("""COMPUTED_VALUE"""),"Model S P85+")</f>
        <v>Model S P85+</v>
      </c>
      <c r="C181">
        <f ca="1">IFERROR(__xludf.DUMMYFUNCTION("""COMPUTED_VALUE"""),400)</f>
        <v>400</v>
      </c>
      <c r="D181">
        <f ca="1">IFERROR(__xludf.DUMMYFUNCTION("""COMPUTED_VALUE"""),80000)</f>
        <v>80000</v>
      </c>
      <c r="E181">
        <f ca="1">IFERROR(__xludf.DUMMYFUNCTION("""COMPUTED_VALUE"""),361)</f>
        <v>361</v>
      </c>
      <c r="F181">
        <v>395</v>
      </c>
      <c r="G181">
        <v>0.91392405063291138</v>
      </c>
      <c r="H181">
        <v>49710</v>
      </c>
      <c r="I181">
        <v>80000</v>
      </c>
      <c r="J181">
        <v>49710</v>
      </c>
      <c r="K181">
        <v>0.95107978059412024</v>
      </c>
      <c r="L181">
        <f t="shared" ca="1" si="20"/>
        <v>224.314931</v>
      </c>
      <c r="M181">
        <f t="shared" si="20"/>
        <v>245.44154499999999</v>
      </c>
      <c r="N181">
        <v>49710</v>
      </c>
      <c r="O181">
        <f t="shared" ca="1" si="14"/>
        <v>0.91392405063291138</v>
      </c>
    </row>
    <row r="182" spans="1:15" x14ac:dyDescent="0.2">
      <c r="A182" t="str">
        <f ca="1">IFERROR(__xludf.DUMMYFUNCTION("""COMPUTED_VALUE"""),"km")</f>
        <v>km</v>
      </c>
      <c r="B182" t="str">
        <f ca="1">IFERROR(__xludf.DUMMYFUNCTION("""COMPUTED_VALUE"""),"Model S 85")</f>
        <v>Model S 85</v>
      </c>
      <c r="C182">
        <f ca="1">IFERROR(__xludf.DUMMYFUNCTION("""COMPUTED_VALUE"""),400)</f>
        <v>400</v>
      </c>
      <c r="D182">
        <f ca="1">IFERROR(__xludf.DUMMYFUNCTION("""COMPUTED_VALUE"""),81614)</f>
        <v>81614</v>
      </c>
      <c r="E182">
        <f ca="1">IFERROR(__xludf.DUMMYFUNCTION("""COMPUTED_VALUE"""),361)</f>
        <v>361</v>
      </c>
      <c r="F182">
        <v>395</v>
      </c>
      <c r="G182">
        <v>0.91392405063291138</v>
      </c>
      <c r="H182">
        <v>50713</v>
      </c>
      <c r="I182">
        <v>81614</v>
      </c>
      <c r="J182">
        <v>50713</v>
      </c>
      <c r="K182">
        <v>0.95021814073692634</v>
      </c>
      <c r="L182">
        <f t="shared" ca="1" si="20"/>
        <v>224.314931</v>
      </c>
      <c r="M182">
        <f t="shared" si="20"/>
        <v>245.44154499999999</v>
      </c>
      <c r="N182">
        <v>50713</v>
      </c>
      <c r="O182">
        <f t="shared" ca="1" si="14"/>
        <v>0.91392405063291138</v>
      </c>
    </row>
    <row r="183" spans="1:15" x14ac:dyDescent="0.2">
      <c r="A183" t="str">
        <f ca="1">IFERROR(__xludf.DUMMYFUNCTION("""COMPUTED_VALUE"""),"km")</f>
        <v>km</v>
      </c>
      <c r="B183" t="str">
        <f ca="1">IFERROR(__xludf.DUMMYFUNCTION("""COMPUTED_VALUE"""),"Model S P85")</f>
        <v>Model S P85</v>
      </c>
      <c r="C183">
        <f ca="1">IFERROR(__xludf.DUMMYFUNCTION("""COMPUTED_VALUE"""),398)</f>
        <v>398</v>
      </c>
      <c r="D183">
        <f ca="1">IFERROR(__xludf.DUMMYFUNCTION("""COMPUTED_VALUE"""),122100)</f>
        <v>122100</v>
      </c>
      <c r="E183">
        <f ca="1">IFERROR(__xludf.DUMMYFUNCTION("""COMPUTED_VALUE"""),361)</f>
        <v>361</v>
      </c>
      <c r="F183">
        <v>395</v>
      </c>
      <c r="G183">
        <v>0.91392405063291138</v>
      </c>
      <c r="H183">
        <v>75869</v>
      </c>
      <c r="I183">
        <v>122100</v>
      </c>
      <c r="J183">
        <v>75869</v>
      </c>
      <c r="K183">
        <v>0.93030259532248571</v>
      </c>
      <c r="L183">
        <f t="shared" ca="1" si="20"/>
        <v>224.314931</v>
      </c>
      <c r="M183">
        <f t="shared" si="20"/>
        <v>245.44154499999999</v>
      </c>
      <c r="N183">
        <v>75869</v>
      </c>
      <c r="O183">
        <f t="shared" ca="1" si="14"/>
        <v>0.91392405063291138</v>
      </c>
    </row>
    <row r="184" spans="1:15" x14ac:dyDescent="0.2">
      <c r="A184" t="str">
        <f ca="1">IFERROR(__xludf.DUMMYFUNCTION("""COMPUTED_VALUE"""),"mi")</f>
        <v>mi</v>
      </c>
      <c r="B184" t="str">
        <f ca="1">IFERROR(__xludf.DUMMYFUNCTION("""COMPUTED_VALUE"""),"Model S 85")</f>
        <v>Model S 85</v>
      </c>
      <c r="D184">
        <f ca="1">IFERROR(__xludf.DUMMYFUNCTION("""COMPUTED_VALUE"""),97095)</f>
        <v>97095</v>
      </c>
      <c r="E184">
        <f ca="1">IFERROR(__xludf.DUMMYFUNCTION("""COMPUTED_VALUE"""),224)</f>
        <v>224</v>
      </c>
      <c r="F184">
        <v>245</v>
      </c>
      <c r="G184">
        <v>0.91428571428571426</v>
      </c>
      <c r="H184">
        <v>97095</v>
      </c>
      <c r="I184">
        <v>156259</v>
      </c>
      <c r="J184">
        <v>97095</v>
      </c>
      <c r="K184">
        <v>0.91611420270102228</v>
      </c>
      <c r="L184">
        <f ca="1">IFERROR(__xludf.DUMMYFUNCTION("""COMPUTED_VALUE"""),224)</f>
        <v>224</v>
      </c>
      <c r="M184">
        <v>245</v>
      </c>
      <c r="N184">
        <v>97095</v>
      </c>
      <c r="O184">
        <f t="shared" ca="1" si="14"/>
        <v>0.91428571428571426</v>
      </c>
    </row>
    <row r="185" spans="1:15" x14ac:dyDescent="0.2">
      <c r="A185" t="str">
        <f ca="1">IFERROR(__xludf.DUMMYFUNCTION("""COMPUTED_VALUE"""),"km")</f>
        <v>km</v>
      </c>
      <c r="B185" t="str">
        <f ca="1">IFERROR(__xludf.DUMMYFUNCTION("""COMPUTED_VALUE"""),"Model S P100D")</f>
        <v>Model S P100D</v>
      </c>
      <c r="D185">
        <f ca="1">IFERROR(__xludf.DUMMYFUNCTION("""COMPUTED_VALUE"""),105727)</f>
        <v>105727</v>
      </c>
      <c r="E185">
        <f ca="1">IFERROR(__xludf.DUMMYFUNCTION("""COMPUTED_VALUE"""),442)</f>
        <v>442</v>
      </c>
      <c r="F185">
        <v>483</v>
      </c>
      <c r="G185">
        <v>0.91511387163561075</v>
      </c>
      <c r="H185">
        <v>65696</v>
      </c>
      <c r="I185">
        <v>105727</v>
      </c>
      <c r="J185">
        <v>65696</v>
      </c>
      <c r="K185">
        <v>0.93795950900120273</v>
      </c>
      <c r="L185">
        <f t="shared" ref="L185:L195" ca="1" si="21">E185*0.621371</f>
        <v>274.645982</v>
      </c>
      <c r="M185">
        <f t="shared" ref="M185:M195" si="22">F185*0.621371</f>
        <v>300.12219299999998</v>
      </c>
      <c r="N185">
        <v>65696</v>
      </c>
      <c r="O185">
        <f t="shared" ca="1" si="14"/>
        <v>0.91511387163561086</v>
      </c>
    </row>
    <row r="186" spans="1:15" x14ac:dyDescent="0.2">
      <c r="A186" t="str">
        <f ca="1">IFERROR(__xludf.DUMMYFUNCTION("""COMPUTED_VALUE"""),"km")</f>
        <v>km</v>
      </c>
      <c r="B186" t="str">
        <f ca="1">IFERROR(__xludf.DUMMYFUNCTION("""COMPUTED_VALUE"""),"Model S 60")</f>
        <v>Model S 60</v>
      </c>
      <c r="C186">
        <f ca="1">IFERROR(__xludf.DUMMYFUNCTION("""COMPUTED_VALUE"""),280)</f>
        <v>280</v>
      </c>
      <c r="D186">
        <f ca="1">IFERROR(__xludf.DUMMYFUNCTION("""COMPUTED_VALUE"""),49800)</f>
        <v>49800</v>
      </c>
      <c r="E186">
        <f ca="1">IFERROR(__xludf.DUMMYFUNCTION("""COMPUTED_VALUE"""),260)</f>
        <v>260</v>
      </c>
      <c r="F186">
        <v>284</v>
      </c>
      <c r="G186">
        <v>0.91549295774647887</v>
      </c>
      <c r="H186">
        <v>30944</v>
      </c>
      <c r="I186">
        <v>49800</v>
      </c>
      <c r="J186">
        <v>30944</v>
      </c>
      <c r="K186">
        <v>0.96813347459888877</v>
      </c>
      <c r="L186">
        <f t="shared" ca="1" si="21"/>
        <v>161.55646000000002</v>
      </c>
      <c r="M186">
        <f t="shared" si="22"/>
        <v>176.46936400000001</v>
      </c>
      <c r="N186">
        <v>30944</v>
      </c>
      <c r="O186">
        <f t="shared" ca="1" si="14"/>
        <v>0.91549295774647887</v>
      </c>
    </row>
    <row r="187" spans="1:15" x14ac:dyDescent="0.2">
      <c r="A187" t="str">
        <f ca="1">IFERROR(__xludf.DUMMYFUNCTION("""COMPUTED_VALUE"""),"km")</f>
        <v>km</v>
      </c>
      <c r="B187" t="str">
        <f ca="1">IFERROR(__xludf.DUMMYFUNCTION("""COMPUTED_VALUE"""),"Model 3 LR AWD")</f>
        <v>Model 3 LR AWD</v>
      </c>
      <c r="C187">
        <f ca="1">IFERROR(__xludf.DUMMYFUNCTION("""COMPUTED_VALUE"""),499)</f>
        <v>499</v>
      </c>
      <c r="D187">
        <f ca="1">IFERROR(__xludf.DUMMYFUNCTION("""COMPUTED_VALUE"""),57194)</f>
        <v>57194</v>
      </c>
      <c r="E187">
        <f ca="1">IFERROR(__xludf.DUMMYFUNCTION("""COMPUTED_VALUE"""),457)</f>
        <v>457</v>
      </c>
      <c r="F187">
        <v>499</v>
      </c>
      <c r="G187">
        <v>0.91583166332665333</v>
      </c>
      <c r="H187">
        <v>35539</v>
      </c>
      <c r="I187">
        <v>57194</v>
      </c>
      <c r="J187">
        <v>35539</v>
      </c>
      <c r="K187">
        <v>0.96379619269754402</v>
      </c>
      <c r="L187">
        <f t="shared" ca="1" si="21"/>
        <v>283.96654699999999</v>
      </c>
      <c r="M187">
        <f t="shared" si="22"/>
        <v>310.06412899999998</v>
      </c>
      <c r="N187">
        <v>35539</v>
      </c>
      <c r="O187">
        <f t="shared" ca="1" si="14"/>
        <v>0.91583166332665333</v>
      </c>
    </row>
    <row r="188" spans="1:15" x14ac:dyDescent="0.2">
      <c r="A188" t="str">
        <f ca="1">IFERROR(__xludf.DUMMYFUNCTION("""COMPUTED_VALUE"""),"km")</f>
        <v>km</v>
      </c>
      <c r="B188" t="str">
        <f ca="1">IFERROR(__xludf.DUMMYFUNCTION("""COMPUTED_VALUE"""),"Model S 85")</f>
        <v>Model S 85</v>
      </c>
      <c r="D188">
        <f ca="1">IFERROR(__xludf.DUMMYFUNCTION("""COMPUTED_VALUE"""),168130)</f>
        <v>168130</v>
      </c>
      <c r="E188">
        <f ca="1">IFERROR(__xludf.DUMMYFUNCTION("""COMPUTED_VALUE"""),392)</f>
        <v>392</v>
      </c>
      <c r="F188">
        <v>428</v>
      </c>
      <c r="G188">
        <v>0.91588785046728971</v>
      </c>
      <c r="H188">
        <v>104471</v>
      </c>
      <c r="I188">
        <v>168130</v>
      </c>
      <c r="J188">
        <v>104471</v>
      </c>
      <c r="K188">
        <v>0.9117623825772283</v>
      </c>
      <c r="L188">
        <f t="shared" ca="1" si="21"/>
        <v>243.57743200000002</v>
      </c>
      <c r="M188">
        <f t="shared" si="22"/>
        <v>265.94678800000003</v>
      </c>
      <c r="N188">
        <v>104471</v>
      </c>
      <c r="O188">
        <f t="shared" ca="1" si="14"/>
        <v>0.91588785046728971</v>
      </c>
    </row>
    <row r="189" spans="1:15" x14ac:dyDescent="0.2">
      <c r="A189" t="str">
        <f ca="1">IFERROR(__xludf.DUMMYFUNCTION("""COMPUTED_VALUE"""),"km")</f>
        <v>km</v>
      </c>
      <c r="B189" t="str">
        <f ca="1">IFERROR(__xludf.DUMMYFUNCTION("""COMPUTED_VALUE"""),"Model S 85")</f>
        <v>Model S 85</v>
      </c>
      <c r="D189">
        <f ca="1">IFERROR(__xludf.DUMMYFUNCTION("""COMPUTED_VALUE"""),201593)</f>
        <v>201593</v>
      </c>
      <c r="E189">
        <f ca="1">IFERROR(__xludf.DUMMYFUNCTION("""COMPUTED_VALUE"""),362)</f>
        <v>362</v>
      </c>
      <c r="F189">
        <v>395</v>
      </c>
      <c r="G189">
        <v>0.91645569620253164</v>
      </c>
      <c r="H189">
        <v>125264</v>
      </c>
      <c r="I189">
        <v>201593</v>
      </c>
      <c r="J189">
        <v>125264</v>
      </c>
      <c r="K189">
        <v>0.90115151885194456</v>
      </c>
      <c r="L189">
        <f t="shared" ca="1" si="21"/>
        <v>224.93630200000001</v>
      </c>
      <c r="M189">
        <f t="shared" si="22"/>
        <v>245.44154499999999</v>
      </c>
      <c r="N189">
        <v>125264</v>
      </c>
      <c r="O189">
        <f t="shared" ca="1" si="14"/>
        <v>0.91645569620253176</v>
      </c>
    </row>
    <row r="190" spans="1:15" x14ac:dyDescent="0.2">
      <c r="A190" t="str">
        <f ca="1">IFERROR(__xludf.DUMMYFUNCTION("""COMPUTED_VALUE"""),"km")</f>
        <v>km</v>
      </c>
      <c r="B190" t="str">
        <f ca="1">IFERROR(__xludf.DUMMYFUNCTION("""COMPUTED_VALUE"""),"Model S 85")</f>
        <v>Model S 85</v>
      </c>
      <c r="C190">
        <f ca="1">IFERROR(__xludf.DUMMYFUNCTION("""COMPUTED_VALUE"""),382)</f>
        <v>382</v>
      </c>
      <c r="D190">
        <f ca="1">IFERROR(__xludf.DUMMYFUNCTION("""COMPUTED_VALUE"""),195000)</f>
        <v>195000</v>
      </c>
      <c r="E190">
        <f ca="1">IFERROR(__xludf.DUMMYFUNCTION("""COMPUTED_VALUE"""),362)</f>
        <v>362</v>
      </c>
      <c r="F190">
        <v>395</v>
      </c>
      <c r="G190">
        <v>0.91645569620253164</v>
      </c>
      <c r="H190">
        <v>121167</v>
      </c>
      <c r="I190">
        <v>195000</v>
      </c>
      <c r="J190">
        <v>121167</v>
      </c>
      <c r="K190">
        <v>0.90304582327872074</v>
      </c>
      <c r="L190">
        <f t="shared" ca="1" si="21"/>
        <v>224.93630200000001</v>
      </c>
      <c r="M190">
        <f t="shared" si="22"/>
        <v>245.44154499999999</v>
      </c>
      <c r="N190">
        <v>121167</v>
      </c>
      <c r="O190">
        <f t="shared" ca="1" si="14"/>
        <v>0.91645569620253176</v>
      </c>
    </row>
    <row r="191" spans="1:15" x14ac:dyDescent="0.2">
      <c r="A191" t="str">
        <f ca="1">IFERROR(__xludf.DUMMYFUNCTION("""COMPUTED_VALUE"""),"km")</f>
        <v>km</v>
      </c>
      <c r="B191" t="str">
        <f ca="1">IFERROR(__xludf.DUMMYFUNCTION("""COMPUTED_VALUE"""),"Model S 85")</f>
        <v>Model S 85</v>
      </c>
      <c r="D191">
        <f ca="1">IFERROR(__xludf.DUMMYFUNCTION("""COMPUTED_VALUE"""),192495)</f>
        <v>192495</v>
      </c>
      <c r="E191">
        <f ca="1">IFERROR(__xludf.DUMMYFUNCTION("""COMPUTED_VALUE"""),362)</f>
        <v>362</v>
      </c>
      <c r="F191">
        <v>395</v>
      </c>
      <c r="G191">
        <v>0.91645569620253164</v>
      </c>
      <c r="H191">
        <v>119611</v>
      </c>
      <c r="I191">
        <v>192495</v>
      </c>
      <c r="J191">
        <v>119611</v>
      </c>
      <c r="K191">
        <v>0.90379104617466988</v>
      </c>
      <c r="L191">
        <f t="shared" ca="1" si="21"/>
        <v>224.93630200000001</v>
      </c>
      <c r="M191">
        <f t="shared" si="22"/>
        <v>245.44154499999999</v>
      </c>
      <c r="N191">
        <v>119611</v>
      </c>
      <c r="O191">
        <f t="shared" ca="1" si="14"/>
        <v>0.91645569620253176</v>
      </c>
    </row>
    <row r="192" spans="1:15" x14ac:dyDescent="0.2">
      <c r="A192" t="str">
        <f ca="1">IFERROR(__xludf.DUMMYFUNCTION("""COMPUTED_VALUE"""),"km")</f>
        <v>km</v>
      </c>
      <c r="B192" t="str">
        <f ca="1">IFERROR(__xludf.DUMMYFUNCTION("""COMPUTED_VALUE"""),"Model S 85")</f>
        <v>Model S 85</v>
      </c>
      <c r="C192">
        <f ca="1">IFERROR(__xludf.DUMMYFUNCTION("""COMPUTED_VALUE"""),394)</f>
        <v>394</v>
      </c>
      <c r="D192">
        <f ca="1">IFERROR(__xludf.DUMMYFUNCTION("""COMPUTED_VALUE"""),110150)</f>
        <v>110150</v>
      </c>
      <c r="E192">
        <f ca="1">IFERROR(__xludf.DUMMYFUNCTION("""COMPUTED_VALUE"""),362)</f>
        <v>362</v>
      </c>
      <c r="F192">
        <v>395</v>
      </c>
      <c r="G192">
        <v>0.91645569620253164</v>
      </c>
      <c r="H192">
        <v>68444</v>
      </c>
      <c r="I192">
        <v>110150</v>
      </c>
      <c r="J192">
        <v>68444</v>
      </c>
      <c r="K192">
        <v>0.93583732553719079</v>
      </c>
      <c r="L192">
        <f t="shared" ca="1" si="21"/>
        <v>224.93630200000001</v>
      </c>
      <c r="M192">
        <f t="shared" si="22"/>
        <v>245.44154499999999</v>
      </c>
      <c r="N192">
        <v>68444</v>
      </c>
      <c r="O192">
        <f t="shared" ca="1" si="14"/>
        <v>0.91645569620253176</v>
      </c>
    </row>
    <row r="193" spans="1:15" x14ac:dyDescent="0.2">
      <c r="A193" t="str">
        <f ca="1">IFERROR(__xludf.DUMMYFUNCTION("""COMPUTED_VALUE"""),"km")</f>
        <v>km</v>
      </c>
      <c r="B193" t="str">
        <f ca="1">IFERROR(__xludf.DUMMYFUNCTION("""COMPUTED_VALUE"""),"Model S P85")</f>
        <v>Model S P85</v>
      </c>
      <c r="C193">
        <f ca="1">IFERROR(__xludf.DUMMYFUNCTION("""COMPUTED_VALUE"""),400)</f>
        <v>400</v>
      </c>
      <c r="D193">
        <f ca="1">IFERROR(__xludf.DUMMYFUNCTION("""COMPUTED_VALUE"""),235000)</f>
        <v>235000</v>
      </c>
      <c r="E193">
        <f ca="1">IFERROR(__xludf.DUMMYFUNCTION("""COMPUTED_VALUE"""),362)</f>
        <v>362</v>
      </c>
      <c r="F193">
        <v>395</v>
      </c>
      <c r="G193">
        <v>0.91645569620253164</v>
      </c>
      <c r="H193">
        <v>146022</v>
      </c>
      <c r="I193">
        <v>235000</v>
      </c>
      <c r="J193">
        <v>146022</v>
      </c>
      <c r="K193">
        <v>0.89307156538737875</v>
      </c>
      <c r="L193">
        <f t="shared" ca="1" si="21"/>
        <v>224.93630200000001</v>
      </c>
      <c r="M193">
        <f t="shared" si="22"/>
        <v>245.44154499999999</v>
      </c>
      <c r="N193">
        <v>146022</v>
      </c>
      <c r="O193">
        <f t="shared" ca="1" si="14"/>
        <v>0.91645569620253176</v>
      </c>
    </row>
    <row r="194" spans="1:15" x14ac:dyDescent="0.2">
      <c r="A194" t="str">
        <f ca="1">IFERROR(__xludf.DUMMYFUNCTION("""COMPUTED_VALUE"""),"km")</f>
        <v>km</v>
      </c>
      <c r="B194" t="str">
        <f ca="1">IFERROR(__xludf.DUMMYFUNCTION("""COMPUTED_VALUE"""),"Model S P85")</f>
        <v>Model S P85</v>
      </c>
      <c r="C194">
        <f ca="1">IFERROR(__xludf.DUMMYFUNCTION("""COMPUTED_VALUE"""),399)</f>
        <v>399</v>
      </c>
      <c r="D194">
        <f ca="1">IFERROR(__xludf.DUMMYFUNCTION("""COMPUTED_VALUE"""),102000)</f>
        <v>102000</v>
      </c>
      <c r="E194">
        <f ca="1">IFERROR(__xludf.DUMMYFUNCTION("""COMPUTED_VALUE"""),362)</f>
        <v>362</v>
      </c>
      <c r="F194">
        <v>395</v>
      </c>
      <c r="G194">
        <v>0.91645569620253164</v>
      </c>
      <c r="H194">
        <v>63380</v>
      </c>
      <c r="I194">
        <v>102000</v>
      </c>
      <c r="J194">
        <v>63380</v>
      </c>
      <c r="K194">
        <v>0.93977840010129254</v>
      </c>
      <c r="L194">
        <f t="shared" ca="1" si="21"/>
        <v>224.93630200000001</v>
      </c>
      <c r="M194">
        <f t="shared" si="22"/>
        <v>245.44154499999999</v>
      </c>
      <c r="N194">
        <v>63380</v>
      </c>
      <c r="O194">
        <f t="shared" ref="O194:O257" ca="1" si="23">L194/M194</f>
        <v>0.91645569620253176</v>
      </c>
    </row>
    <row r="195" spans="1:15" x14ac:dyDescent="0.2">
      <c r="A195" t="str">
        <f ca="1">IFERROR(__xludf.DUMMYFUNCTION("""COMPUTED_VALUE"""),"km")</f>
        <v>km</v>
      </c>
      <c r="B195" t="str">
        <f ca="1">IFERROR(__xludf.DUMMYFUNCTION("""COMPUTED_VALUE"""),"Model S 70D")</f>
        <v>Model S 70D</v>
      </c>
      <c r="D195">
        <f ca="1">IFERROR(__xludf.DUMMYFUNCTION("""COMPUTED_VALUE"""),224500)</f>
        <v>224500</v>
      </c>
      <c r="E195">
        <f ca="1">IFERROR(__xludf.DUMMYFUNCTION("""COMPUTED_VALUE"""),330)</f>
        <v>330</v>
      </c>
      <c r="F195">
        <v>360</v>
      </c>
      <c r="G195">
        <v>0.91666666666666663</v>
      </c>
      <c r="H195">
        <v>139498</v>
      </c>
      <c r="I195">
        <v>224500</v>
      </c>
      <c r="J195">
        <v>139498</v>
      </c>
      <c r="K195">
        <v>0.89533474093000553</v>
      </c>
      <c r="L195">
        <f t="shared" ca="1" si="21"/>
        <v>205.05243000000002</v>
      </c>
      <c r="M195">
        <f t="shared" si="22"/>
        <v>223.69355999999999</v>
      </c>
      <c r="N195">
        <v>139498</v>
      </c>
      <c r="O195">
        <f t="shared" ca="1" si="23"/>
        <v>0.91666666666666674</v>
      </c>
    </row>
    <row r="196" spans="1:15" x14ac:dyDescent="0.2">
      <c r="A196" t="str">
        <f ca="1">IFERROR(__xludf.DUMMYFUNCTION("""COMPUTED_VALUE"""),"mi")</f>
        <v>mi</v>
      </c>
      <c r="B196" t="str">
        <f ca="1">IFERROR(__xludf.DUMMYFUNCTION("""COMPUTED_VALUE"""),"Model 3 LR AWD")</f>
        <v>Model 3 LR AWD</v>
      </c>
      <c r="C196">
        <f ca="1">IFERROR(__xludf.DUMMYFUNCTION("""COMPUTED_VALUE"""),310)</f>
        <v>310</v>
      </c>
      <c r="D196">
        <f ca="1">IFERROR(__xludf.DUMMYFUNCTION("""COMPUTED_VALUE"""),42384)</f>
        <v>42384</v>
      </c>
      <c r="E196">
        <f ca="1">IFERROR(__xludf.DUMMYFUNCTION("""COMPUTED_VALUE"""),284.28)</f>
        <v>284.27999999999997</v>
      </c>
      <c r="F196">
        <v>310</v>
      </c>
      <c r="G196">
        <v>0.91703225806451605</v>
      </c>
      <c r="H196">
        <v>42384</v>
      </c>
      <c r="I196">
        <v>68210</v>
      </c>
      <c r="J196">
        <v>42384</v>
      </c>
      <c r="K196">
        <v>0.9575281679602925</v>
      </c>
      <c r="L196">
        <f ca="1">IFERROR(__xludf.DUMMYFUNCTION("""COMPUTED_VALUE"""),284.28)</f>
        <v>284.27999999999997</v>
      </c>
      <c r="M196">
        <v>310</v>
      </c>
      <c r="N196">
        <v>42384</v>
      </c>
      <c r="O196">
        <f t="shared" ca="1" si="23"/>
        <v>0.91703225806451605</v>
      </c>
    </row>
    <row r="197" spans="1:15" x14ac:dyDescent="0.2">
      <c r="A197" t="str">
        <f ca="1">IFERROR(__xludf.DUMMYFUNCTION("""COMPUTED_VALUE"""),"km")</f>
        <v>km</v>
      </c>
      <c r="B197" t="str">
        <f ca="1">IFERROR(__xludf.DUMMYFUNCTION("""COMPUTED_VALUE"""),"Model S 90D")</f>
        <v>Model S 90D</v>
      </c>
      <c r="D197">
        <f ca="1">IFERROR(__xludf.DUMMYFUNCTION("""COMPUTED_VALUE"""),159000)</f>
        <v>159000</v>
      </c>
      <c r="E197">
        <f ca="1">IFERROR(__xludf.DUMMYFUNCTION("""COMPUTED_VALUE"""),410)</f>
        <v>410</v>
      </c>
      <c r="F197">
        <v>447</v>
      </c>
      <c r="G197">
        <v>0.91722595078299773</v>
      </c>
      <c r="H197">
        <v>98798</v>
      </c>
      <c r="I197">
        <v>159000</v>
      </c>
      <c r="J197">
        <v>98798</v>
      </c>
      <c r="K197">
        <v>0.91508248582203411</v>
      </c>
      <c r="L197">
        <f ca="1">E197*0.621371</f>
        <v>254.76211000000001</v>
      </c>
      <c r="M197">
        <f>F197*0.621371</f>
        <v>277.752837</v>
      </c>
      <c r="N197">
        <v>98798</v>
      </c>
      <c r="O197">
        <f t="shared" ca="1" si="23"/>
        <v>0.91722595078299773</v>
      </c>
    </row>
    <row r="198" spans="1:15" x14ac:dyDescent="0.2">
      <c r="A198" t="str">
        <f ca="1">IFERROR(__xludf.DUMMYFUNCTION("""COMPUTED_VALUE"""),"mi")</f>
        <v>mi</v>
      </c>
      <c r="B198" t="str">
        <f ca="1">IFERROR(__xludf.DUMMYFUNCTION("""COMPUTED_VALUE"""),"Model S P85")</f>
        <v>Model S P85</v>
      </c>
      <c r="C198">
        <f ca="1">IFERROR(__xludf.DUMMYFUNCTION("""COMPUTED_VALUE"""),260)</f>
        <v>260</v>
      </c>
      <c r="D198">
        <f ca="1">IFERROR(__xludf.DUMMYFUNCTION("""COMPUTED_VALUE"""),96003)</f>
        <v>96003</v>
      </c>
      <c r="E198">
        <f ca="1">IFERROR(__xludf.DUMMYFUNCTION("""COMPUTED_VALUE"""),244)</f>
        <v>244</v>
      </c>
      <c r="F198">
        <v>266</v>
      </c>
      <c r="G198">
        <v>0.91729323308270672</v>
      </c>
      <c r="H198">
        <v>96003</v>
      </c>
      <c r="I198">
        <v>154502</v>
      </c>
      <c r="J198">
        <v>96003</v>
      </c>
      <c r="K198">
        <v>0.91678398747184064</v>
      </c>
      <c r="L198">
        <f ca="1">IFERROR(__xludf.DUMMYFUNCTION("""COMPUTED_VALUE"""),244)</f>
        <v>244</v>
      </c>
      <c r="M198">
        <v>266</v>
      </c>
      <c r="N198">
        <v>96003</v>
      </c>
      <c r="O198">
        <f t="shared" ca="1" si="23"/>
        <v>0.91729323308270672</v>
      </c>
    </row>
    <row r="199" spans="1:15" x14ac:dyDescent="0.2">
      <c r="A199" t="str">
        <f ca="1">IFERROR(__xludf.DUMMYFUNCTION("""COMPUTED_VALUE"""),"mi")</f>
        <v>mi</v>
      </c>
      <c r="B199" t="str">
        <f ca="1">IFERROR(__xludf.DUMMYFUNCTION("""COMPUTED_VALUE"""),"Model S 85")</f>
        <v>Model S 85</v>
      </c>
      <c r="C199">
        <f ca="1">IFERROR(__xludf.DUMMYFUNCTION("""COMPUTED_VALUE"""),256)</f>
        <v>256</v>
      </c>
      <c r="D199">
        <f ca="1">IFERROR(__xludf.DUMMYFUNCTION("""COMPUTED_VALUE"""),58070)</f>
        <v>58070</v>
      </c>
      <c r="E199">
        <f ca="1">IFERROR(__xludf.DUMMYFUNCTION("""COMPUTED_VALUE"""),244)</f>
        <v>244</v>
      </c>
      <c r="F199">
        <v>266</v>
      </c>
      <c r="G199">
        <v>0.91729323308270672</v>
      </c>
      <c r="H199">
        <v>58070</v>
      </c>
      <c r="I199">
        <v>93455</v>
      </c>
      <c r="J199">
        <v>58070</v>
      </c>
      <c r="K199">
        <v>0.94405378105766502</v>
      </c>
      <c r="L199">
        <f ca="1">IFERROR(__xludf.DUMMYFUNCTION("""COMPUTED_VALUE"""),244)</f>
        <v>244</v>
      </c>
      <c r="M199">
        <v>266</v>
      </c>
      <c r="N199">
        <v>58070</v>
      </c>
      <c r="O199">
        <f t="shared" ca="1" si="23"/>
        <v>0.91729323308270672</v>
      </c>
    </row>
    <row r="200" spans="1:15" x14ac:dyDescent="0.2">
      <c r="A200" t="str">
        <f ca="1">IFERROR(__xludf.DUMMYFUNCTION("""COMPUTED_VALUE"""),"mi")</f>
        <v>mi</v>
      </c>
      <c r="B200" t="str">
        <f ca="1">IFERROR(__xludf.DUMMYFUNCTION("""COMPUTED_VALUE"""),"Model S P85")</f>
        <v>Model S P85</v>
      </c>
      <c r="C200">
        <f ca="1">IFERROR(__xludf.DUMMYFUNCTION("""COMPUTED_VALUE"""),248)</f>
        <v>248</v>
      </c>
      <c r="D200">
        <f ca="1">IFERROR(__xludf.DUMMYFUNCTION("""COMPUTED_VALUE"""),66000)</f>
        <v>66000</v>
      </c>
      <c r="E200">
        <f ca="1">IFERROR(__xludf.DUMMYFUNCTION("""COMPUTED_VALUE"""),244)</f>
        <v>244</v>
      </c>
      <c r="F200">
        <v>266</v>
      </c>
      <c r="G200">
        <v>0.91729323308270672</v>
      </c>
      <c r="H200">
        <v>66000</v>
      </c>
      <c r="I200">
        <v>106217</v>
      </c>
      <c r="J200">
        <v>66000</v>
      </c>
      <c r="K200">
        <v>0.93772245599283532</v>
      </c>
      <c r="L200">
        <f ca="1">IFERROR(__xludf.DUMMYFUNCTION("""COMPUTED_VALUE"""),244)</f>
        <v>244</v>
      </c>
      <c r="M200">
        <v>266</v>
      </c>
      <c r="N200">
        <v>66000</v>
      </c>
      <c r="O200">
        <f t="shared" ca="1" si="23"/>
        <v>0.91729323308270672</v>
      </c>
    </row>
    <row r="201" spans="1:15" x14ac:dyDescent="0.2">
      <c r="A201" t="str">
        <f ca="1">IFERROR(__xludf.DUMMYFUNCTION("""COMPUTED_VALUE"""),"km")</f>
        <v>km</v>
      </c>
      <c r="B201" t="str">
        <f ca="1">IFERROR(__xludf.DUMMYFUNCTION("""COMPUTED_VALUE"""),"Model S 75")</f>
        <v>Model S 75</v>
      </c>
      <c r="C201">
        <f ca="1">IFERROR(__xludf.DUMMYFUNCTION("""COMPUTED_VALUE"""),374)</f>
        <v>374</v>
      </c>
      <c r="D201">
        <f ca="1">IFERROR(__xludf.DUMMYFUNCTION("""COMPUTED_VALUE"""),97600)</f>
        <v>97600</v>
      </c>
      <c r="E201">
        <f ca="1">IFERROR(__xludf.DUMMYFUNCTION("""COMPUTED_VALUE"""),344)</f>
        <v>344</v>
      </c>
      <c r="F201">
        <v>375</v>
      </c>
      <c r="G201">
        <v>0.91733333333333333</v>
      </c>
      <c r="H201">
        <v>60646</v>
      </c>
      <c r="I201">
        <v>97600</v>
      </c>
      <c r="J201">
        <v>60646</v>
      </c>
      <c r="K201">
        <v>0.94196165084341454</v>
      </c>
      <c r="L201">
        <f ca="1">E201*0.621371</f>
        <v>213.75162399999999</v>
      </c>
      <c r="M201">
        <f>F201*0.621371</f>
        <v>233.01412500000001</v>
      </c>
      <c r="N201">
        <v>60646</v>
      </c>
      <c r="O201">
        <f t="shared" ca="1" si="23"/>
        <v>0.91733333333333322</v>
      </c>
    </row>
    <row r="202" spans="1:15" x14ac:dyDescent="0.2">
      <c r="A202" t="str">
        <f ca="1">IFERROR(__xludf.DUMMYFUNCTION("""COMPUTED_VALUE"""),"km")</f>
        <v>km</v>
      </c>
      <c r="B202" t="str">
        <f ca="1">IFERROR(__xludf.DUMMYFUNCTION("""COMPUTED_VALUE"""),"Model X 100D")</f>
        <v>Model X 100D</v>
      </c>
      <c r="D202">
        <f ca="1">IFERROR(__xludf.DUMMYFUNCTION("""COMPUTED_VALUE"""),98957)</f>
        <v>98957</v>
      </c>
      <c r="E202">
        <f ca="1">IFERROR(__xludf.DUMMYFUNCTION("""COMPUTED_VALUE"""),411)</f>
        <v>411</v>
      </c>
      <c r="F202">
        <v>448</v>
      </c>
      <c r="G202">
        <v>0.9174107142857143</v>
      </c>
      <c r="H202">
        <v>61489</v>
      </c>
      <c r="I202">
        <v>98957</v>
      </c>
      <c r="J202">
        <v>61489</v>
      </c>
      <c r="K202">
        <v>0.94128417971190248</v>
      </c>
      <c r="L202">
        <f ca="1">E202*0.621371</f>
        <v>255.38348099999999</v>
      </c>
      <c r="M202">
        <f>F202*0.621371</f>
        <v>278.37420800000001</v>
      </c>
      <c r="N202">
        <v>61489</v>
      </c>
      <c r="O202">
        <f t="shared" ca="1" si="23"/>
        <v>0.91741071428571419</v>
      </c>
    </row>
    <row r="203" spans="1:15" x14ac:dyDescent="0.2">
      <c r="A203" t="str">
        <f ca="1">IFERROR(__xludf.DUMMYFUNCTION("""COMPUTED_VALUE"""),"mi")</f>
        <v>mi</v>
      </c>
      <c r="B203" t="str">
        <f ca="1">IFERROR(__xludf.DUMMYFUNCTION("""COMPUTED_VALUE"""),"Model S 60")</f>
        <v>Model S 60</v>
      </c>
      <c r="C203">
        <f ca="1">IFERROR(__xludf.DUMMYFUNCTION("""COMPUTED_VALUE"""),208)</f>
        <v>208</v>
      </c>
      <c r="D203">
        <f ca="1">IFERROR(__xludf.DUMMYFUNCTION("""COMPUTED_VALUE"""),145154)</f>
        <v>145154</v>
      </c>
      <c r="E203">
        <f ca="1">IFERROR(__xludf.DUMMYFUNCTION("""COMPUTED_VALUE"""),190)</f>
        <v>190</v>
      </c>
      <c r="F203">
        <v>207</v>
      </c>
      <c r="G203">
        <v>0.91787439613526567</v>
      </c>
      <c r="H203">
        <v>145154</v>
      </c>
      <c r="I203">
        <v>233603</v>
      </c>
      <c r="J203">
        <v>145154</v>
      </c>
      <c r="K203">
        <v>0.89335788420809925</v>
      </c>
      <c r="L203">
        <f ca="1">IFERROR(__xludf.DUMMYFUNCTION("""COMPUTED_VALUE"""),190)</f>
        <v>190</v>
      </c>
      <c r="M203">
        <v>207</v>
      </c>
      <c r="N203">
        <v>145154</v>
      </c>
      <c r="O203">
        <f t="shared" ca="1" si="23"/>
        <v>0.91787439613526567</v>
      </c>
    </row>
    <row r="204" spans="1:15" x14ac:dyDescent="0.2">
      <c r="A204" t="str">
        <f ca="1">IFERROR(__xludf.DUMMYFUNCTION("""COMPUTED_VALUE"""),"mi")</f>
        <v>mi</v>
      </c>
      <c r="B204" t="str">
        <f ca="1">IFERROR(__xludf.DUMMYFUNCTION("""COMPUTED_VALUE"""),"Model S 60")</f>
        <v>Model S 60</v>
      </c>
      <c r="D204">
        <f ca="1">IFERROR(__xludf.DUMMYFUNCTION("""COMPUTED_VALUE"""),24903)</f>
        <v>24903</v>
      </c>
      <c r="E204">
        <f ca="1">IFERROR(__xludf.DUMMYFUNCTION("""COMPUTED_VALUE"""),190)</f>
        <v>190</v>
      </c>
      <c r="F204">
        <v>207</v>
      </c>
      <c r="G204">
        <v>0.91787439613526567</v>
      </c>
      <c r="H204">
        <v>24903</v>
      </c>
      <c r="I204">
        <v>40077</v>
      </c>
      <c r="J204">
        <v>24903</v>
      </c>
      <c r="K204">
        <v>0.97399437446974635</v>
      </c>
      <c r="L204">
        <f ca="1">IFERROR(__xludf.DUMMYFUNCTION("""COMPUTED_VALUE"""),190)</f>
        <v>190</v>
      </c>
      <c r="M204">
        <v>207</v>
      </c>
      <c r="N204">
        <v>24903</v>
      </c>
      <c r="O204">
        <f t="shared" ca="1" si="23"/>
        <v>0.91787439613526567</v>
      </c>
    </row>
    <row r="205" spans="1:15" x14ac:dyDescent="0.2">
      <c r="A205" t="str">
        <f ca="1">IFERROR(__xludf.DUMMYFUNCTION("""COMPUTED_VALUE"""),"mi")</f>
        <v>mi</v>
      </c>
      <c r="B205" t="str">
        <f ca="1">IFERROR(__xludf.DUMMYFUNCTION("""COMPUTED_VALUE"""),"Model S 85")</f>
        <v>Model S 85</v>
      </c>
      <c r="D205">
        <f ca="1">IFERROR(__xludf.DUMMYFUNCTION("""COMPUTED_VALUE"""),82170)</f>
        <v>82170</v>
      </c>
      <c r="E205">
        <f ca="1">IFERROR(__xludf.DUMMYFUNCTION("""COMPUTED_VALUE"""),225)</f>
        <v>225</v>
      </c>
      <c r="F205">
        <v>245</v>
      </c>
      <c r="G205">
        <v>0.91836734693877553</v>
      </c>
      <c r="H205">
        <v>82170</v>
      </c>
      <c r="I205">
        <v>132240</v>
      </c>
      <c r="J205">
        <v>82170</v>
      </c>
      <c r="K205">
        <v>0.92583624651573038</v>
      </c>
      <c r="L205">
        <f ca="1">IFERROR(__xludf.DUMMYFUNCTION("""COMPUTED_VALUE"""),225)</f>
        <v>225</v>
      </c>
      <c r="M205">
        <v>245</v>
      </c>
      <c r="N205">
        <v>82170</v>
      </c>
      <c r="O205">
        <f t="shared" ca="1" si="23"/>
        <v>0.91836734693877553</v>
      </c>
    </row>
    <row r="206" spans="1:15" x14ac:dyDescent="0.2">
      <c r="A206" t="str">
        <f ca="1">IFERROR(__xludf.DUMMYFUNCTION("""COMPUTED_VALUE"""),"km")</f>
        <v>km</v>
      </c>
      <c r="B206" t="str">
        <f ca="1">IFERROR(__xludf.DUMMYFUNCTION("""COMPUTED_VALUE"""),"Model 3 SR+")</f>
        <v>Model 3 SR+</v>
      </c>
      <c r="D206">
        <f ca="1">IFERROR(__xludf.DUMMYFUNCTION("""COMPUTED_VALUE"""),37477)</f>
        <v>37477</v>
      </c>
      <c r="E206">
        <f ca="1">IFERROR(__xludf.DUMMYFUNCTION("""COMPUTED_VALUE"""),350)</f>
        <v>350</v>
      </c>
      <c r="F206">
        <v>381</v>
      </c>
      <c r="G206">
        <v>0.9186351706036745</v>
      </c>
      <c r="H206">
        <v>23287</v>
      </c>
      <c r="I206">
        <v>37477</v>
      </c>
      <c r="J206">
        <v>23287</v>
      </c>
      <c r="K206">
        <v>0.97559170487100522</v>
      </c>
      <c r="L206">
        <f t="shared" ref="L206:M208" ca="1" si="24">E206*0.621371</f>
        <v>217.47985</v>
      </c>
      <c r="M206">
        <f t="shared" si="24"/>
        <v>236.74235100000001</v>
      </c>
      <c r="N206">
        <v>23287</v>
      </c>
      <c r="O206">
        <f t="shared" ca="1" si="23"/>
        <v>0.9186351706036745</v>
      </c>
    </row>
    <row r="207" spans="1:15" x14ac:dyDescent="0.2">
      <c r="A207" t="str">
        <f ca="1">IFERROR(__xludf.DUMMYFUNCTION("""COMPUTED_VALUE"""),"km")</f>
        <v>km</v>
      </c>
      <c r="B207" t="str">
        <f ca="1">IFERROR(__xludf.DUMMYFUNCTION("""COMPUTED_VALUE"""),"Model 3 SR+")</f>
        <v>Model 3 SR+</v>
      </c>
      <c r="C207">
        <f ca="1">IFERROR(__xludf.DUMMYFUNCTION("""COMPUTED_VALUE"""),355)</f>
        <v>355</v>
      </c>
      <c r="D207">
        <f ca="1">IFERROR(__xludf.DUMMYFUNCTION("""COMPUTED_VALUE"""),80)</f>
        <v>80</v>
      </c>
      <c r="E207">
        <f ca="1">IFERROR(__xludf.DUMMYFUNCTION("""COMPUTED_VALUE"""),350)</f>
        <v>350</v>
      </c>
      <c r="F207">
        <v>381</v>
      </c>
      <c r="G207">
        <v>0.9186351706036745</v>
      </c>
      <c r="H207">
        <v>50</v>
      </c>
      <c r="I207">
        <v>80</v>
      </c>
      <c r="J207">
        <v>50</v>
      </c>
      <c r="K207">
        <v>0.99994518164145485</v>
      </c>
      <c r="L207">
        <f t="shared" ca="1" si="24"/>
        <v>217.47985</v>
      </c>
      <c r="M207">
        <f t="shared" si="24"/>
        <v>236.74235100000001</v>
      </c>
      <c r="N207">
        <v>50</v>
      </c>
      <c r="O207">
        <f t="shared" ca="1" si="23"/>
        <v>0.9186351706036745</v>
      </c>
    </row>
    <row r="208" spans="1:15" x14ac:dyDescent="0.2">
      <c r="A208" t="str">
        <f ca="1">IFERROR(__xludf.DUMMYFUNCTION("""COMPUTED_VALUE"""),"km")</f>
        <v>km</v>
      </c>
      <c r="B208" t="str">
        <f ca="1">IFERROR(__xludf.DUMMYFUNCTION("""COMPUTED_VALUE"""),"Model S 60")</f>
        <v>Model S 60</v>
      </c>
      <c r="D208">
        <f ca="1">IFERROR(__xludf.DUMMYFUNCTION("""COMPUTED_VALUE"""),64423)</f>
        <v>64423</v>
      </c>
      <c r="E208">
        <f ca="1">IFERROR(__xludf.DUMMYFUNCTION("""COMPUTED_VALUE"""),306)</f>
        <v>306</v>
      </c>
      <c r="F208">
        <v>333</v>
      </c>
      <c r="G208">
        <v>0.91891891891891897</v>
      </c>
      <c r="H208">
        <v>40031</v>
      </c>
      <c r="I208">
        <v>64423</v>
      </c>
      <c r="J208">
        <v>40031</v>
      </c>
      <c r="K208">
        <v>0.95965662392862949</v>
      </c>
      <c r="L208">
        <f t="shared" ca="1" si="24"/>
        <v>190.13952599999999</v>
      </c>
      <c r="M208">
        <f t="shared" si="24"/>
        <v>206.91654299999999</v>
      </c>
      <c r="N208">
        <v>40031</v>
      </c>
      <c r="O208">
        <f t="shared" ca="1" si="23"/>
        <v>0.91891891891891886</v>
      </c>
    </row>
    <row r="209" spans="1:15" x14ac:dyDescent="0.2">
      <c r="A209" t="str">
        <f ca="1">IFERROR(__xludf.DUMMYFUNCTION("""COMPUTED_VALUE"""),"mi")</f>
        <v>mi</v>
      </c>
      <c r="B209" t="str">
        <f ca="1">IFERROR(__xludf.DUMMYFUNCTION("""COMPUTED_VALUE"""),"Model S 75D")</f>
        <v>Model S 75D</v>
      </c>
      <c r="D209">
        <f ca="1">IFERROR(__xludf.DUMMYFUNCTION("""COMPUTED_VALUE"""),82447)</f>
        <v>82447</v>
      </c>
      <c r="E209">
        <f ca="1">IFERROR(__xludf.DUMMYFUNCTION("""COMPUTED_VALUE"""),238)</f>
        <v>238</v>
      </c>
      <c r="F209">
        <v>259</v>
      </c>
      <c r="G209">
        <v>0.91891891891891897</v>
      </c>
      <c r="H209">
        <v>82447</v>
      </c>
      <c r="I209">
        <v>132686</v>
      </c>
      <c r="J209">
        <v>82447</v>
      </c>
      <c r="K209">
        <v>0.92564468851847548</v>
      </c>
      <c r="L209">
        <f ca="1">IFERROR(__xludf.DUMMYFUNCTION("""COMPUTED_VALUE"""),238)</f>
        <v>238</v>
      </c>
      <c r="M209">
        <v>259</v>
      </c>
      <c r="N209">
        <v>82447</v>
      </c>
      <c r="O209">
        <f t="shared" ca="1" si="23"/>
        <v>0.91891891891891897</v>
      </c>
    </row>
    <row r="210" spans="1:15" x14ac:dyDescent="0.2">
      <c r="A210" t="str">
        <f ca="1">IFERROR(__xludf.DUMMYFUNCTION("""COMPUTED_VALUE"""),"km")</f>
        <v>km</v>
      </c>
      <c r="B210" t="str">
        <f ca="1">IFERROR(__xludf.DUMMYFUNCTION("""COMPUTED_VALUE"""),"Model S 85")</f>
        <v>Model S 85</v>
      </c>
      <c r="C210">
        <f ca="1">IFERROR(__xludf.DUMMYFUNCTION("""COMPUTED_VALUE"""),400)</f>
        <v>400</v>
      </c>
      <c r="D210">
        <f ca="1">IFERROR(__xludf.DUMMYFUNCTION("""COMPUTED_VALUE"""),246902)</f>
        <v>246902</v>
      </c>
      <c r="E210">
        <f ca="1">IFERROR(__xludf.DUMMYFUNCTION("""COMPUTED_VALUE"""),363)</f>
        <v>363</v>
      </c>
      <c r="F210">
        <v>395</v>
      </c>
      <c r="G210">
        <v>0.91898734177215191</v>
      </c>
      <c r="H210">
        <v>153418</v>
      </c>
      <c r="I210">
        <v>246902</v>
      </c>
      <c r="J210">
        <v>153418</v>
      </c>
      <c r="K210">
        <v>0.89081789151267354</v>
      </c>
      <c r="L210">
        <f t="shared" ref="L210:M213" ca="1" si="25">E210*0.621371</f>
        <v>225.55767299999999</v>
      </c>
      <c r="M210">
        <f t="shared" si="25"/>
        <v>245.44154499999999</v>
      </c>
      <c r="N210">
        <v>153418</v>
      </c>
      <c r="O210">
        <f t="shared" ca="1" si="23"/>
        <v>0.91898734177215191</v>
      </c>
    </row>
    <row r="211" spans="1:15" x14ac:dyDescent="0.2">
      <c r="A211" t="str">
        <f ca="1">IFERROR(__xludf.DUMMYFUNCTION("""COMPUTED_VALUE"""),"km")</f>
        <v>km</v>
      </c>
      <c r="B211" t="str">
        <f ca="1">IFERROR(__xludf.DUMMYFUNCTION("""COMPUTED_VALUE"""),"Model S P85+")</f>
        <v>Model S P85+</v>
      </c>
      <c r="D211">
        <f ca="1">IFERROR(__xludf.DUMMYFUNCTION("""COMPUTED_VALUE"""),101887)</f>
        <v>101887</v>
      </c>
      <c r="E211">
        <f ca="1">IFERROR(__xludf.DUMMYFUNCTION("""COMPUTED_VALUE"""),363)</f>
        <v>363</v>
      </c>
      <c r="F211">
        <v>395</v>
      </c>
      <c r="G211">
        <v>0.91898734177215191</v>
      </c>
      <c r="H211">
        <v>63310</v>
      </c>
      <c r="I211">
        <v>101887</v>
      </c>
      <c r="J211">
        <v>63310</v>
      </c>
      <c r="K211">
        <v>0.93983398411183272</v>
      </c>
      <c r="L211">
        <f t="shared" ca="1" si="25"/>
        <v>225.55767299999999</v>
      </c>
      <c r="M211">
        <f t="shared" si="25"/>
        <v>245.44154499999999</v>
      </c>
      <c r="N211">
        <v>63310</v>
      </c>
      <c r="O211">
        <f t="shared" ca="1" si="23"/>
        <v>0.91898734177215191</v>
      </c>
    </row>
    <row r="212" spans="1:15" x14ac:dyDescent="0.2">
      <c r="A212" t="str">
        <f ca="1">IFERROR(__xludf.DUMMYFUNCTION("""COMPUTED_VALUE"""),"km")</f>
        <v>km</v>
      </c>
      <c r="B212" t="str">
        <f ca="1">IFERROR(__xludf.DUMMYFUNCTION("""COMPUTED_VALUE"""),"Model S P85")</f>
        <v>Model S P85</v>
      </c>
      <c r="C212">
        <f ca="1">IFERROR(__xludf.DUMMYFUNCTION("""COMPUTED_VALUE"""),400)</f>
        <v>400</v>
      </c>
      <c r="D212">
        <f ca="1">IFERROR(__xludf.DUMMYFUNCTION("""COMPUTED_VALUE"""),269000)</f>
        <v>269000</v>
      </c>
      <c r="E212">
        <f ca="1">IFERROR(__xludf.DUMMYFUNCTION("""COMPUTED_VALUE"""),363)</f>
        <v>363</v>
      </c>
      <c r="F212">
        <v>395</v>
      </c>
      <c r="G212">
        <v>0.91898734177215191</v>
      </c>
      <c r="H212">
        <v>167149</v>
      </c>
      <c r="I212">
        <v>269000</v>
      </c>
      <c r="J212">
        <v>167149</v>
      </c>
      <c r="K212">
        <v>0.88752682128712534</v>
      </c>
      <c r="L212">
        <f t="shared" ca="1" si="25"/>
        <v>225.55767299999999</v>
      </c>
      <c r="M212">
        <f t="shared" si="25"/>
        <v>245.44154499999999</v>
      </c>
      <c r="N212">
        <v>167149</v>
      </c>
      <c r="O212">
        <f t="shared" ca="1" si="23"/>
        <v>0.91898734177215191</v>
      </c>
    </row>
    <row r="213" spans="1:15" x14ac:dyDescent="0.2">
      <c r="A213" t="str">
        <f ca="1">IFERROR(__xludf.DUMMYFUNCTION("""COMPUTED_VALUE"""),"km")</f>
        <v>km</v>
      </c>
      <c r="B213" t="str">
        <f ca="1">IFERROR(__xludf.DUMMYFUNCTION("""COMPUTED_VALUE"""),"Model S 85")</f>
        <v>Model S 85</v>
      </c>
      <c r="C213">
        <f ca="1">IFERROR(__xludf.DUMMYFUNCTION("""COMPUTED_VALUE"""),400)</f>
        <v>400</v>
      </c>
      <c r="D213">
        <f ca="1">IFERROR(__xludf.DUMMYFUNCTION("""COMPUTED_VALUE"""),61000)</f>
        <v>61000</v>
      </c>
      <c r="E213">
        <f ca="1">IFERROR(__xludf.DUMMYFUNCTION("""COMPUTED_VALUE"""),363)</f>
        <v>363</v>
      </c>
      <c r="F213">
        <v>395</v>
      </c>
      <c r="G213">
        <v>0.91898734177215191</v>
      </c>
      <c r="H213">
        <v>37904</v>
      </c>
      <c r="I213">
        <v>61000</v>
      </c>
      <c r="J213">
        <v>37904</v>
      </c>
      <c r="K213">
        <v>0.96160425792597082</v>
      </c>
      <c r="L213">
        <f t="shared" ca="1" si="25"/>
        <v>225.55767299999999</v>
      </c>
      <c r="M213">
        <f t="shared" si="25"/>
        <v>245.44154499999999</v>
      </c>
      <c r="N213">
        <v>37904</v>
      </c>
      <c r="O213">
        <f t="shared" ca="1" si="23"/>
        <v>0.91898734177215191</v>
      </c>
    </row>
    <row r="214" spans="1:15" x14ac:dyDescent="0.2">
      <c r="A214" t="str">
        <f ca="1">IFERROR(__xludf.DUMMYFUNCTION("""COMPUTED_VALUE"""),"mi")</f>
        <v>mi</v>
      </c>
      <c r="B214" t="str">
        <f ca="1">IFERROR(__xludf.DUMMYFUNCTION("""COMPUTED_VALUE"""),"Model 3 LR AWD")</f>
        <v>Model 3 LR AWD</v>
      </c>
      <c r="C214">
        <f ca="1">IFERROR(__xludf.DUMMYFUNCTION("""COMPUTED_VALUE"""),310)</f>
        <v>310</v>
      </c>
      <c r="D214">
        <f ca="1">IFERROR(__xludf.DUMMYFUNCTION("""COMPUTED_VALUE"""),82682)</f>
        <v>82682</v>
      </c>
      <c r="E214">
        <f ca="1">IFERROR(__xludf.DUMMYFUNCTION("""COMPUTED_VALUE"""),285)</f>
        <v>285</v>
      </c>
      <c r="F214">
        <v>310</v>
      </c>
      <c r="G214">
        <v>0.91935483870967738</v>
      </c>
      <c r="H214">
        <v>82682</v>
      </c>
      <c r="I214">
        <v>133064</v>
      </c>
      <c r="J214">
        <v>82682</v>
      </c>
      <c r="K214">
        <v>0.92548266066892715</v>
      </c>
      <c r="L214">
        <f ca="1">IFERROR(__xludf.DUMMYFUNCTION("""COMPUTED_VALUE"""),285)</f>
        <v>285</v>
      </c>
      <c r="M214">
        <v>310</v>
      </c>
      <c r="N214">
        <v>82682</v>
      </c>
      <c r="O214">
        <f t="shared" ca="1" si="23"/>
        <v>0.91935483870967738</v>
      </c>
    </row>
    <row r="215" spans="1:15" x14ac:dyDescent="0.2">
      <c r="A215" t="str">
        <f ca="1">IFERROR(__xludf.DUMMYFUNCTION("""COMPUTED_VALUE"""),"mi")</f>
        <v>mi</v>
      </c>
      <c r="B215" t="str">
        <f ca="1">IFERROR(__xludf.DUMMYFUNCTION("""COMPUTED_VALUE"""),"Model 3 P")</f>
        <v>Model 3 P</v>
      </c>
      <c r="C215">
        <f ca="1">IFERROR(__xludf.DUMMYFUNCTION("""COMPUTED_VALUE"""),310)</f>
        <v>310</v>
      </c>
      <c r="D215">
        <f ca="1">IFERROR(__xludf.DUMMYFUNCTION("""COMPUTED_VALUE"""),22352)</f>
        <v>22352</v>
      </c>
      <c r="E215">
        <f ca="1">IFERROR(__xludf.DUMMYFUNCTION("""COMPUTED_VALUE"""),285)</f>
        <v>285</v>
      </c>
      <c r="F215">
        <v>310</v>
      </c>
      <c r="G215">
        <v>0.91935483870967738</v>
      </c>
      <c r="H215">
        <v>22352</v>
      </c>
      <c r="I215">
        <v>35972</v>
      </c>
      <c r="J215">
        <v>22352</v>
      </c>
      <c r="K215">
        <v>0.97652208397275375</v>
      </c>
      <c r="L215">
        <f ca="1">IFERROR(__xludf.DUMMYFUNCTION("""COMPUTED_VALUE"""),285)</f>
        <v>285</v>
      </c>
      <c r="M215">
        <v>310</v>
      </c>
      <c r="N215">
        <v>22352</v>
      </c>
      <c r="O215">
        <f t="shared" ca="1" si="23"/>
        <v>0.91935483870967738</v>
      </c>
    </row>
    <row r="216" spans="1:15" x14ac:dyDescent="0.2">
      <c r="A216" t="str">
        <f ca="1">IFERROR(__xludf.DUMMYFUNCTION("""COMPUTED_VALUE"""),"mi")</f>
        <v>mi</v>
      </c>
      <c r="B216" t="str">
        <f ca="1">IFERROR(__xludf.DUMMYFUNCTION("""COMPUTED_VALUE"""),"Model 3 LR AWD")</f>
        <v>Model 3 LR AWD</v>
      </c>
      <c r="C216">
        <f ca="1">IFERROR(__xludf.DUMMYFUNCTION("""COMPUTED_VALUE"""),310)</f>
        <v>310</v>
      </c>
      <c r="D216">
        <f ca="1">IFERROR(__xludf.DUMMYFUNCTION("""COMPUTED_VALUE"""),16811)</f>
        <v>16811</v>
      </c>
      <c r="E216">
        <f ca="1">IFERROR(__xludf.DUMMYFUNCTION("""COMPUTED_VALUE"""),285)</f>
        <v>285</v>
      </c>
      <c r="F216">
        <v>310</v>
      </c>
      <c r="G216">
        <v>0.91935483870967738</v>
      </c>
      <c r="H216">
        <v>16811</v>
      </c>
      <c r="I216">
        <v>27055</v>
      </c>
      <c r="J216">
        <v>16811</v>
      </c>
      <c r="K216">
        <v>0.98212087982486107</v>
      </c>
      <c r="L216">
        <f ca="1">IFERROR(__xludf.DUMMYFUNCTION("""COMPUTED_VALUE"""),285)</f>
        <v>285</v>
      </c>
      <c r="M216">
        <v>310</v>
      </c>
      <c r="N216">
        <v>16811</v>
      </c>
      <c r="O216">
        <f t="shared" ca="1" si="23"/>
        <v>0.91935483870967738</v>
      </c>
    </row>
    <row r="217" spans="1:15" x14ac:dyDescent="0.2">
      <c r="A217" t="str">
        <f ca="1">IFERROR(__xludf.DUMMYFUNCTION("""COMPUTED_VALUE"""),"km")</f>
        <v>km</v>
      </c>
      <c r="B217" t="str">
        <f ca="1">IFERROR(__xludf.DUMMYFUNCTION("""COMPUTED_VALUE"""),"Model S 70D")</f>
        <v>Model S 70D</v>
      </c>
      <c r="D217">
        <f ca="1">IFERROR(__xludf.DUMMYFUNCTION("""COMPUTED_VALUE"""),257744)</f>
        <v>257744</v>
      </c>
      <c r="E217">
        <f ca="1">IFERROR(__xludf.DUMMYFUNCTION("""COMPUTED_VALUE"""),331)</f>
        <v>331</v>
      </c>
      <c r="F217">
        <v>360</v>
      </c>
      <c r="G217">
        <v>0.9194444444444444</v>
      </c>
      <c r="H217">
        <v>160155</v>
      </c>
      <c r="I217">
        <v>257744</v>
      </c>
      <c r="J217">
        <v>160155</v>
      </c>
      <c r="K217">
        <v>0.88905684584378863</v>
      </c>
      <c r="L217">
        <f t="shared" ref="L217:M220" ca="1" si="26">E217*0.621371</f>
        <v>205.673801</v>
      </c>
      <c r="M217">
        <f t="shared" si="26"/>
        <v>223.69355999999999</v>
      </c>
      <c r="N217">
        <v>160155</v>
      </c>
      <c r="O217">
        <f t="shared" ca="1" si="23"/>
        <v>0.91944444444444451</v>
      </c>
    </row>
    <row r="218" spans="1:15" x14ac:dyDescent="0.2">
      <c r="A218" t="str">
        <f ca="1">IFERROR(__xludf.DUMMYFUNCTION("""COMPUTED_VALUE"""),"km")</f>
        <v>km</v>
      </c>
      <c r="B218" t="str">
        <f ca="1">IFERROR(__xludf.DUMMYFUNCTION("""COMPUTED_VALUE"""),"Model S 100D")</f>
        <v>Model S 100D</v>
      </c>
      <c r="C218">
        <f ca="1">IFERROR(__xludf.DUMMYFUNCTION("""COMPUTED_VALUE"""),508)</f>
        <v>508</v>
      </c>
      <c r="D218">
        <f ca="1">IFERROR(__xludf.DUMMYFUNCTION("""COMPUTED_VALUE"""),74000)</f>
        <v>74000</v>
      </c>
      <c r="E218">
        <f ca="1">IFERROR(__xludf.DUMMYFUNCTION("""COMPUTED_VALUE"""),469)</f>
        <v>469</v>
      </c>
      <c r="F218">
        <v>510</v>
      </c>
      <c r="G218">
        <v>0.91960784313725485</v>
      </c>
      <c r="H218">
        <v>45981</v>
      </c>
      <c r="I218">
        <v>74000</v>
      </c>
      <c r="J218">
        <v>45981</v>
      </c>
      <c r="K218">
        <v>0.95432759142357759</v>
      </c>
      <c r="L218">
        <f t="shared" ca="1" si="26"/>
        <v>291.422999</v>
      </c>
      <c r="M218">
        <f t="shared" si="26"/>
        <v>316.89920999999998</v>
      </c>
      <c r="N218">
        <v>45981</v>
      </c>
      <c r="O218">
        <f t="shared" ca="1" si="23"/>
        <v>0.91960784313725497</v>
      </c>
    </row>
    <row r="219" spans="1:15" x14ac:dyDescent="0.2">
      <c r="A219" t="str">
        <f ca="1">IFERROR(__xludf.DUMMYFUNCTION("""COMPUTED_VALUE"""),"km")</f>
        <v>km</v>
      </c>
      <c r="B219" t="str">
        <f ca="1">IFERROR(__xludf.DUMMYFUNCTION("""COMPUTED_VALUE"""),"Model 3 SR+")</f>
        <v>Model 3 SR+</v>
      </c>
      <c r="C219">
        <f ca="1">IFERROR(__xludf.DUMMYFUNCTION("""COMPUTED_VALUE"""),380)</f>
        <v>380</v>
      </c>
      <c r="D219">
        <f ca="1">IFERROR(__xludf.DUMMYFUNCTION("""COMPUTED_VALUE"""),21000)</f>
        <v>21000</v>
      </c>
      <c r="E219">
        <f ca="1">IFERROR(__xludf.DUMMYFUNCTION("""COMPUTED_VALUE"""),355)</f>
        <v>355</v>
      </c>
      <c r="F219">
        <v>386</v>
      </c>
      <c r="G219">
        <v>0.9196891191709845</v>
      </c>
      <c r="H219">
        <v>13049</v>
      </c>
      <c r="I219">
        <v>21000</v>
      </c>
      <c r="J219">
        <v>13049</v>
      </c>
      <c r="K219">
        <v>0.98600642291021556</v>
      </c>
      <c r="L219">
        <f t="shared" ca="1" si="26"/>
        <v>220.58670499999999</v>
      </c>
      <c r="M219">
        <f t="shared" si="26"/>
        <v>239.84920600000001</v>
      </c>
      <c r="N219">
        <v>13049</v>
      </c>
      <c r="O219">
        <f t="shared" ca="1" si="23"/>
        <v>0.91968911917098439</v>
      </c>
    </row>
    <row r="220" spans="1:15" x14ac:dyDescent="0.2">
      <c r="A220" t="str">
        <f ca="1">IFERROR(__xludf.DUMMYFUNCTION("""COMPUTED_VALUE"""),"km")</f>
        <v>km</v>
      </c>
      <c r="B220" t="str">
        <f ca="1">IFERROR(__xludf.DUMMYFUNCTION("""COMPUTED_VALUE"""),"Model S 85D")</f>
        <v>Model S 85D</v>
      </c>
      <c r="D220">
        <f ca="1">IFERROR(__xludf.DUMMYFUNCTION("""COMPUTED_VALUE"""),26279)</f>
        <v>26279</v>
      </c>
      <c r="E220">
        <f ca="1">IFERROR(__xludf.DUMMYFUNCTION("""COMPUTED_VALUE"""),391)</f>
        <v>391</v>
      </c>
      <c r="F220">
        <v>425</v>
      </c>
      <c r="G220">
        <v>0.92</v>
      </c>
      <c r="H220">
        <v>16329</v>
      </c>
      <c r="I220">
        <v>26279</v>
      </c>
      <c r="J220">
        <v>16329</v>
      </c>
      <c r="K220">
        <v>0.98261507539803428</v>
      </c>
      <c r="L220">
        <f t="shared" ca="1" si="26"/>
        <v>242.95606100000001</v>
      </c>
      <c r="M220">
        <f t="shared" si="26"/>
        <v>264.08267499999999</v>
      </c>
      <c r="N220">
        <v>16329</v>
      </c>
      <c r="O220">
        <f t="shared" ca="1" si="23"/>
        <v>0.92</v>
      </c>
    </row>
    <row r="221" spans="1:15" x14ac:dyDescent="0.2">
      <c r="A221" t="str">
        <f ca="1">IFERROR(__xludf.DUMMYFUNCTION("""COMPUTED_VALUE"""),"mi")</f>
        <v>mi</v>
      </c>
      <c r="B221" t="str">
        <f ca="1">IFERROR(__xludf.DUMMYFUNCTION("""COMPUTED_VALUE"""),"Model 3 LR")</f>
        <v>Model 3 LR</v>
      </c>
      <c r="D221">
        <f ca="1">IFERROR(__xludf.DUMMYFUNCTION("""COMPUTED_VALUE"""),29667)</f>
        <v>29667</v>
      </c>
      <c r="E221">
        <f ca="1">IFERROR(__xludf.DUMMYFUNCTION("""COMPUTED_VALUE"""),299)</f>
        <v>299</v>
      </c>
      <c r="F221">
        <v>325</v>
      </c>
      <c r="G221">
        <v>0.92</v>
      </c>
      <c r="H221">
        <v>29667</v>
      </c>
      <c r="I221">
        <v>47744</v>
      </c>
      <c r="J221">
        <v>29667</v>
      </c>
      <c r="K221">
        <v>0.96935794650556439</v>
      </c>
      <c r="L221">
        <f ca="1">IFERROR(__xludf.DUMMYFUNCTION("""COMPUTED_VALUE"""),299)</f>
        <v>299</v>
      </c>
      <c r="M221">
        <v>325</v>
      </c>
      <c r="N221">
        <v>29667</v>
      </c>
      <c r="O221">
        <f t="shared" ca="1" si="23"/>
        <v>0.92</v>
      </c>
    </row>
    <row r="222" spans="1:15" x14ac:dyDescent="0.2">
      <c r="A222" t="str">
        <f ca="1">IFERROR(__xludf.DUMMYFUNCTION("""COMPUTED_VALUE"""),"mi")</f>
        <v>mi</v>
      </c>
      <c r="B222" t="str">
        <f ca="1">IFERROR(__xludf.DUMMYFUNCTION("""COMPUTED_VALUE"""),"Model S 70D")</f>
        <v>Model S 70D</v>
      </c>
      <c r="C222">
        <f ca="1">IFERROR(__xludf.DUMMYFUNCTION("""COMPUTED_VALUE"""),230)</f>
        <v>230</v>
      </c>
      <c r="D222">
        <f ca="1">IFERROR(__xludf.DUMMYFUNCTION("""COMPUTED_VALUE"""),33500)</f>
        <v>33500</v>
      </c>
      <c r="E222">
        <f ca="1">IFERROR(__xludf.DUMMYFUNCTION("""COMPUTED_VALUE"""),221)</f>
        <v>221</v>
      </c>
      <c r="F222">
        <v>240</v>
      </c>
      <c r="G222">
        <v>0.92083333333333328</v>
      </c>
      <c r="H222">
        <v>33500</v>
      </c>
      <c r="I222">
        <v>53913</v>
      </c>
      <c r="J222">
        <v>33500</v>
      </c>
      <c r="K222">
        <v>0.96570797746459847</v>
      </c>
      <c r="L222">
        <f ca="1">IFERROR(__xludf.DUMMYFUNCTION("""COMPUTED_VALUE"""),221)</f>
        <v>221</v>
      </c>
      <c r="M222">
        <v>240</v>
      </c>
      <c r="N222">
        <v>33500</v>
      </c>
      <c r="O222">
        <f t="shared" ca="1" si="23"/>
        <v>0.92083333333333328</v>
      </c>
    </row>
    <row r="223" spans="1:15" x14ac:dyDescent="0.2">
      <c r="A223" t="str">
        <f ca="1">IFERROR(__xludf.DUMMYFUNCTION("""COMPUTED_VALUE"""),"mi")</f>
        <v>mi</v>
      </c>
      <c r="B223" t="str">
        <f ca="1">IFERROR(__xludf.DUMMYFUNCTION("""COMPUTED_VALUE"""),"Model S P85")</f>
        <v>Model S P85</v>
      </c>
      <c r="C223">
        <f ca="1">IFERROR(__xludf.DUMMYFUNCTION("""COMPUTED_VALUE"""),265)</f>
        <v>265</v>
      </c>
      <c r="D223">
        <f ca="1">IFERROR(__xludf.DUMMYFUNCTION("""COMPUTED_VALUE"""),97903)</f>
        <v>97903</v>
      </c>
      <c r="E223">
        <f ca="1">IFERROR(__xludf.DUMMYFUNCTION("""COMPUTED_VALUE"""),245)</f>
        <v>245</v>
      </c>
      <c r="F223">
        <v>266</v>
      </c>
      <c r="G223">
        <v>0.92105263157894735</v>
      </c>
      <c r="H223">
        <v>97903</v>
      </c>
      <c r="I223">
        <v>157560</v>
      </c>
      <c r="J223">
        <v>97903</v>
      </c>
      <c r="K223">
        <v>0.91562249943236296</v>
      </c>
      <c r="L223">
        <f ca="1">IFERROR(__xludf.DUMMYFUNCTION("""COMPUTED_VALUE"""),245)</f>
        <v>245</v>
      </c>
      <c r="M223">
        <v>266</v>
      </c>
      <c r="N223">
        <v>97903</v>
      </c>
      <c r="O223">
        <f t="shared" ca="1" si="23"/>
        <v>0.92105263157894735</v>
      </c>
    </row>
    <row r="224" spans="1:15" x14ac:dyDescent="0.2">
      <c r="A224" t="str">
        <f ca="1">IFERROR(__xludf.DUMMYFUNCTION("""COMPUTED_VALUE"""),"mi")</f>
        <v>mi</v>
      </c>
      <c r="B224" t="str">
        <f ca="1">IFERROR(__xludf.DUMMYFUNCTION("""COMPUTED_VALUE"""),"Model S 85")</f>
        <v>Model S 85</v>
      </c>
      <c r="D224">
        <f ca="1">IFERROR(__xludf.DUMMYFUNCTION("""COMPUTED_VALUE"""),73000)</f>
        <v>73000</v>
      </c>
      <c r="E224">
        <f ca="1">IFERROR(__xludf.DUMMYFUNCTION("""COMPUTED_VALUE"""),245)</f>
        <v>245</v>
      </c>
      <c r="F224">
        <v>266</v>
      </c>
      <c r="G224">
        <v>0.92105263157894735</v>
      </c>
      <c r="H224">
        <v>73000</v>
      </c>
      <c r="I224">
        <v>117482</v>
      </c>
      <c r="J224">
        <v>73000</v>
      </c>
      <c r="K224">
        <v>0.93240687259359245</v>
      </c>
      <c r="L224">
        <f ca="1">IFERROR(__xludf.DUMMYFUNCTION("""COMPUTED_VALUE"""),245)</f>
        <v>245</v>
      </c>
      <c r="M224">
        <v>266</v>
      </c>
      <c r="N224">
        <v>73000</v>
      </c>
      <c r="O224">
        <f t="shared" ca="1" si="23"/>
        <v>0.92105263157894735</v>
      </c>
    </row>
    <row r="225" spans="1:15" x14ac:dyDescent="0.2">
      <c r="A225" t="str">
        <f ca="1">IFERROR(__xludf.DUMMYFUNCTION("""COMPUTED_VALUE"""),"mi")</f>
        <v>mi</v>
      </c>
      <c r="B225" t="str">
        <f ca="1">IFERROR(__xludf.DUMMYFUNCTION("""COMPUTED_VALUE"""),"Model S P85")</f>
        <v>Model S P85</v>
      </c>
      <c r="C225">
        <f ca="1">IFERROR(__xludf.DUMMYFUNCTION("""COMPUTED_VALUE"""),260)</f>
        <v>260</v>
      </c>
      <c r="D225">
        <f ca="1">IFERROR(__xludf.DUMMYFUNCTION("""COMPUTED_VALUE"""),91282)</f>
        <v>91282</v>
      </c>
      <c r="E225">
        <f ca="1">IFERROR(__xludf.DUMMYFUNCTION("""COMPUTED_VALUE"""),245)</f>
        <v>245</v>
      </c>
      <c r="F225">
        <v>266</v>
      </c>
      <c r="G225">
        <v>0.92105263157894735</v>
      </c>
      <c r="H225">
        <v>91282</v>
      </c>
      <c r="I225">
        <v>146904</v>
      </c>
      <c r="J225">
        <v>91282</v>
      </c>
      <c r="K225">
        <v>0.91975604207908712</v>
      </c>
      <c r="L225">
        <f ca="1">IFERROR(__xludf.DUMMYFUNCTION("""COMPUTED_VALUE"""),245)</f>
        <v>245</v>
      </c>
      <c r="M225">
        <v>266</v>
      </c>
      <c r="N225">
        <v>91282</v>
      </c>
      <c r="O225">
        <f t="shared" ca="1" si="23"/>
        <v>0.92105263157894735</v>
      </c>
    </row>
    <row r="226" spans="1:15" x14ac:dyDescent="0.2">
      <c r="A226" t="str">
        <f ca="1">IFERROR(__xludf.DUMMYFUNCTION("""COMPUTED_VALUE"""),"km")</f>
        <v>km</v>
      </c>
      <c r="B226" t="str">
        <f ca="1">IFERROR(__xludf.DUMMYFUNCTION("""COMPUTED_VALUE"""),"Model S P85")</f>
        <v>Model S P85</v>
      </c>
      <c r="D226">
        <f ca="1">IFERROR(__xludf.DUMMYFUNCTION("""COMPUTED_VALUE"""),248884)</f>
        <v>248884</v>
      </c>
      <c r="E226">
        <f ca="1">IFERROR(__xludf.DUMMYFUNCTION("""COMPUTED_VALUE"""),364)</f>
        <v>364</v>
      </c>
      <c r="F226">
        <v>395</v>
      </c>
      <c r="G226">
        <v>0.92151898734177218</v>
      </c>
      <c r="H226">
        <v>154649</v>
      </c>
      <c r="I226">
        <v>248884</v>
      </c>
      <c r="J226">
        <v>154649</v>
      </c>
      <c r="K226">
        <v>0.89047506148406619</v>
      </c>
      <c r="L226">
        <f t="shared" ref="L226:M233" ca="1" si="27">E226*0.621371</f>
        <v>226.179044</v>
      </c>
      <c r="M226">
        <f t="shared" si="27"/>
        <v>245.44154499999999</v>
      </c>
      <c r="N226">
        <v>154649</v>
      </c>
      <c r="O226">
        <f t="shared" ca="1" si="23"/>
        <v>0.92151898734177218</v>
      </c>
    </row>
    <row r="227" spans="1:15" x14ac:dyDescent="0.2">
      <c r="A227" t="str">
        <f ca="1">IFERROR(__xludf.DUMMYFUNCTION("""COMPUTED_VALUE"""),"km")</f>
        <v>km</v>
      </c>
      <c r="B227" t="str">
        <f ca="1">IFERROR(__xludf.DUMMYFUNCTION("""COMPUTED_VALUE"""),"Model S 85")</f>
        <v>Model S 85</v>
      </c>
      <c r="D227">
        <f ca="1">IFERROR(__xludf.DUMMYFUNCTION("""COMPUTED_VALUE"""),53226)</f>
        <v>53226</v>
      </c>
      <c r="E227">
        <f ca="1">IFERROR(__xludf.DUMMYFUNCTION("""COMPUTED_VALUE"""),364)</f>
        <v>364</v>
      </c>
      <c r="F227">
        <v>395</v>
      </c>
      <c r="G227">
        <v>0.92151898734177218</v>
      </c>
      <c r="H227">
        <v>33073</v>
      </c>
      <c r="I227">
        <v>53226</v>
      </c>
      <c r="J227">
        <v>33073</v>
      </c>
      <c r="K227">
        <v>0.966110876719949</v>
      </c>
      <c r="L227">
        <f t="shared" ca="1" si="27"/>
        <v>226.179044</v>
      </c>
      <c r="M227">
        <f t="shared" si="27"/>
        <v>245.44154499999999</v>
      </c>
      <c r="N227">
        <v>33073</v>
      </c>
      <c r="O227">
        <f t="shared" ca="1" si="23"/>
        <v>0.92151898734177218</v>
      </c>
    </row>
    <row r="228" spans="1:15" x14ac:dyDescent="0.2">
      <c r="A228" t="str">
        <f ca="1">IFERROR(__xludf.DUMMYFUNCTION("""COMPUTED_VALUE"""),"km")</f>
        <v>km</v>
      </c>
      <c r="B228" t="str">
        <f ca="1">IFERROR(__xludf.DUMMYFUNCTION("""COMPUTED_VALUE"""),"Model S 85")</f>
        <v>Model S 85</v>
      </c>
      <c r="C228">
        <f ca="1">IFERROR(__xludf.DUMMYFUNCTION("""COMPUTED_VALUE"""),399)</f>
        <v>399</v>
      </c>
      <c r="D228">
        <f ca="1">IFERROR(__xludf.DUMMYFUNCTION("""COMPUTED_VALUE"""),74631)</f>
        <v>74631</v>
      </c>
      <c r="E228">
        <f ca="1">IFERROR(__xludf.DUMMYFUNCTION("""COMPUTED_VALUE"""),364)</f>
        <v>364</v>
      </c>
      <c r="F228">
        <v>395</v>
      </c>
      <c r="G228">
        <v>0.92151898734177218</v>
      </c>
      <c r="H228">
        <v>46374</v>
      </c>
      <c r="I228">
        <v>74631</v>
      </c>
      <c r="J228">
        <v>46374</v>
      </c>
      <c r="K228">
        <v>0.95398272470463363</v>
      </c>
      <c r="L228">
        <f t="shared" ca="1" si="27"/>
        <v>226.179044</v>
      </c>
      <c r="M228">
        <f t="shared" si="27"/>
        <v>245.44154499999999</v>
      </c>
      <c r="N228">
        <v>46374</v>
      </c>
      <c r="O228">
        <f t="shared" ca="1" si="23"/>
        <v>0.92151898734177218</v>
      </c>
    </row>
    <row r="229" spans="1:15" x14ac:dyDescent="0.2">
      <c r="A229" t="str">
        <f ca="1">IFERROR(__xludf.DUMMYFUNCTION("""COMPUTED_VALUE"""),"km")</f>
        <v>km</v>
      </c>
      <c r="B229" t="str">
        <f ca="1">IFERROR(__xludf.DUMMYFUNCTION("""COMPUTED_VALUE"""),"Model S 90D")</f>
        <v>Model S 90D</v>
      </c>
      <c r="D229">
        <f ca="1">IFERROR(__xludf.DUMMYFUNCTION("""COMPUTED_VALUE"""),140813)</f>
        <v>140813</v>
      </c>
      <c r="E229">
        <f ca="1">IFERROR(__xludf.DUMMYFUNCTION("""COMPUTED_VALUE"""),412)</f>
        <v>412</v>
      </c>
      <c r="F229">
        <v>447</v>
      </c>
      <c r="G229">
        <v>0.92170022371364657</v>
      </c>
      <c r="H229">
        <v>87497</v>
      </c>
      <c r="I229">
        <v>140813</v>
      </c>
      <c r="J229">
        <v>87497</v>
      </c>
      <c r="K229">
        <v>0.92222681104604654</v>
      </c>
      <c r="L229">
        <f t="shared" ca="1" si="27"/>
        <v>256.00485200000003</v>
      </c>
      <c r="M229">
        <f t="shared" si="27"/>
        <v>277.752837</v>
      </c>
      <c r="N229">
        <v>87497</v>
      </c>
      <c r="O229">
        <f t="shared" ca="1" si="23"/>
        <v>0.92170022371364668</v>
      </c>
    </row>
    <row r="230" spans="1:15" x14ac:dyDescent="0.2">
      <c r="A230" t="str">
        <f ca="1">IFERROR(__xludf.DUMMYFUNCTION("""COMPUTED_VALUE"""),"km")</f>
        <v>km</v>
      </c>
      <c r="B230" t="str">
        <f ca="1">IFERROR(__xludf.DUMMYFUNCTION("""COMPUTED_VALUE"""),"Model S 90D")</f>
        <v>Model S 90D</v>
      </c>
      <c r="D230">
        <f ca="1">IFERROR(__xludf.DUMMYFUNCTION("""COMPUTED_VALUE"""),112929)</f>
        <v>112929</v>
      </c>
      <c r="E230">
        <f ca="1">IFERROR(__xludf.DUMMYFUNCTION("""COMPUTED_VALUE"""),412)</f>
        <v>412</v>
      </c>
      <c r="F230">
        <v>447</v>
      </c>
      <c r="G230">
        <v>0.92170022371364657</v>
      </c>
      <c r="H230">
        <v>70171</v>
      </c>
      <c r="I230">
        <v>112929</v>
      </c>
      <c r="J230">
        <v>70171</v>
      </c>
      <c r="K230">
        <v>0.9345242248106197</v>
      </c>
      <c r="L230">
        <f t="shared" ca="1" si="27"/>
        <v>256.00485200000003</v>
      </c>
      <c r="M230">
        <f t="shared" si="27"/>
        <v>277.752837</v>
      </c>
      <c r="N230">
        <v>70171</v>
      </c>
      <c r="O230">
        <f t="shared" ca="1" si="23"/>
        <v>0.92170022371364668</v>
      </c>
    </row>
    <row r="231" spans="1:15" x14ac:dyDescent="0.2">
      <c r="A231" t="str">
        <f ca="1">IFERROR(__xludf.DUMMYFUNCTION("""COMPUTED_VALUE"""),"km")</f>
        <v>km</v>
      </c>
      <c r="B231" t="str">
        <f ca="1">IFERROR(__xludf.DUMMYFUNCTION("""COMPUTED_VALUE"""),"Model 3 P")</f>
        <v>Model 3 P</v>
      </c>
      <c r="C231">
        <f ca="1">IFERROR(__xludf.DUMMYFUNCTION("""COMPUTED_VALUE"""),502)</f>
        <v>502</v>
      </c>
      <c r="D231">
        <f ca="1">IFERROR(__xludf.DUMMYFUNCTION("""COMPUTED_VALUE"""),60707)</f>
        <v>60707</v>
      </c>
      <c r="E231">
        <f ca="1">IFERROR(__xludf.DUMMYFUNCTION("""COMPUTED_VALUE"""),460)</f>
        <v>460</v>
      </c>
      <c r="F231">
        <v>499</v>
      </c>
      <c r="G231">
        <v>0.92184368737474953</v>
      </c>
      <c r="H231">
        <v>37722</v>
      </c>
      <c r="I231">
        <v>60707</v>
      </c>
      <c r="J231">
        <v>37722</v>
      </c>
      <c r="K231">
        <v>0.96177201569453907</v>
      </c>
      <c r="L231">
        <f t="shared" ca="1" si="27"/>
        <v>285.83066000000002</v>
      </c>
      <c r="M231">
        <f t="shared" si="27"/>
        <v>310.06412899999998</v>
      </c>
      <c r="N231">
        <v>37722</v>
      </c>
      <c r="O231">
        <f t="shared" ca="1" si="23"/>
        <v>0.92184368737474964</v>
      </c>
    </row>
    <row r="232" spans="1:15" x14ac:dyDescent="0.2">
      <c r="A232" t="str">
        <f ca="1">IFERROR(__xludf.DUMMYFUNCTION("""COMPUTED_VALUE"""),"km")</f>
        <v>km</v>
      </c>
      <c r="B232" t="str">
        <f ca="1">IFERROR(__xludf.DUMMYFUNCTION("""COMPUTED_VALUE"""),"Model 3 P")</f>
        <v>Model 3 P</v>
      </c>
      <c r="C232">
        <f ca="1">IFERROR(__xludf.DUMMYFUNCTION("""COMPUTED_VALUE"""),499)</f>
        <v>499</v>
      </c>
      <c r="D232">
        <f ca="1">IFERROR(__xludf.DUMMYFUNCTION("""COMPUTED_VALUE"""),4817)</f>
        <v>4817</v>
      </c>
      <c r="E232">
        <f ca="1">IFERROR(__xludf.DUMMYFUNCTION("""COMPUTED_VALUE"""),460)</f>
        <v>460</v>
      </c>
      <c r="F232">
        <v>499</v>
      </c>
      <c r="G232">
        <v>0.92184368737474953</v>
      </c>
      <c r="H232">
        <v>2993</v>
      </c>
      <c r="I232">
        <v>4817</v>
      </c>
      <c r="J232">
        <v>2993</v>
      </c>
      <c r="K232">
        <v>0.99671970429655765</v>
      </c>
      <c r="L232">
        <f t="shared" ca="1" si="27"/>
        <v>285.83066000000002</v>
      </c>
      <c r="M232">
        <f t="shared" si="27"/>
        <v>310.06412899999998</v>
      </c>
      <c r="N232">
        <v>2993</v>
      </c>
      <c r="O232">
        <f t="shared" ca="1" si="23"/>
        <v>0.92184368737474964</v>
      </c>
    </row>
    <row r="233" spans="1:15" x14ac:dyDescent="0.2">
      <c r="A233" t="str">
        <f ca="1">IFERROR(__xludf.DUMMYFUNCTION("""COMPUTED_VALUE"""),"km")</f>
        <v>km</v>
      </c>
      <c r="B233" t="str">
        <f ca="1">IFERROR(__xludf.DUMMYFUNCTION("""COMPUTED_VALUE"""),"Model S 60")</f>
        <v>Model S 60</v>
      </c>
      <c r="D233">
        <f ca="1">IFERROR(__xludf.DUMMYFUNCTION("""COMPUTED_VALUE"""),54401)</f>
        <v>54401</v>
      </c>
      <c r="E233">
        <f ca="1">IFERROR(__xludf.DUMMYFUNCTION("""COMPUTED_VALUE"""),307)</f>
        <v>307</v>
      </c>
      <c r="F233">
        <v>333</v>
      </c>
      <c r="G233">
        <v>0.92192192192192191</v>
      </c>
      <c r="H233">
        <v>33803</v>
      </c>
      <c r="I233">
        <v>54401</v>
      </c>
      <c r="J233">
        <v>33803</v>
      </c>
      <c r="K233">
        <v>0.96542232950802731</v>
      </c>
      <c r="L233">
        <f t="shared" ca="1" si="27"/>
        <v>190.760897</v>
      </c>
      <c r="M233">
        <f t="shared" si="27"/>
        <v>206.91654299999999</v>
      </c>
      <c r="N233">
        <v>33803</v>
      </c>
      <c r="O233">
        <f t="shared" ca="1" si="23"/>
        <v>0.92192192192192202</v>
      </c>
    </row>
    <row r="234" spans="1:15" x14ac:dyDescent="0.2">
      <c r="A234" t="str">
        <f ca="1">IFERROR(__xludf.DUMMYFUNCTION("""COMPUTED_VALUE"""),"mi")</f>
        <v>mi</v>
      </c>
      <c r="B234" t="str">
        <f ca="1">IFERROR(__xludf.DUMMYFUNCTION("""COMPUTED_VALUE"""),"Model S 85")</f>
        <v>Model S 85</v>
      </c>
      <c r="D234">
        <f ca="1">IFERROR(__xludf.DUMMYFUNCTION("""COMPUTED_VALUE"""),77096)</f>
        <v>77096</v>
      </c>
      <c r="E234">
        <f ca="1">IFERROR(__xludf.DUMMYFUNCTION("""COMPUTED_VALUE"""),226)</f>
        <v>226</v>
      </c>
      <c r="F234">
        <v>245</v>
      </c>
      <c r="G234">
        <v>0.92244897959183669</v>
      </c>
      <c r="H234">
        <v>77096</v>
      </c>
      <c r="I234">
        <v>124074</v>
      </c>
      <c r="J234">
        <v>77096</v>
      </c>
      <c r="K234">
        <v>0.92941646673941269</v>
      </c>
      <c r="L234">
        <f ca="1">IFERROR(__xludf.DUMMYFUNCTION("""COMPUTED_VALUE"""),226)</f>
        <v>226</v>
      </c>
      <c r="M234">
        <v>245</v>
      </c>
      <c r="N234">
        <v>77096</v>
      </c>
      <c r="O234">
        <f t="shared" ca="1" si="23"/>
        <v>0.92244897959183669</v>
      </c>
    </row>
    <row r="235" spans="1:15" x14ac:dyDescent="0.2">
      <c r="A235" t="str">
        <f ca="1">IFERROR(__xludf.DUMMYFUNCTION("""COMPUTED_VALUE"""),"mi")</f>
        <v>mi</v>
      </c>
      <c r="B235" t="str">
        <f ca="1">IFERROR(__xludf.DUMMYFUNCTION("""COMPUTED_VALUE"""),"Model 3 LR AWD")</f>
        <v>Model 3 LR AWD</v>
      </c>
      <c r="C235">
        <f ca="1">IFERROR(__xludf.DUMMYFUNCTION("""COMPUTED_VALUE"""),310)</f>
        <v>310</v>
      </c>
      <c r="D235">
        <f ca="1">IFERROR(__xludf.DUMMYFUNCTION("""COMPUTED_VALUE"""),87738)</f>
        <v>87738</v>
      </c>
      <c r="E235">
        <f ca="1">IFERROR(__xludf.DUMMYFUNCTION("""COMPUTED_VALUE"""),286)</f>
        <v>286</v>
      </c>
      <c r="F235">
        <v>310</v>
      </c>
      <c r="G235">
        <v>0.92258064516129035</v>
      </c>
      <c r="H235">
        <v>87738</v>
      </c>
      <c r="I235">
        <v>141201</v>
      </c>
      <c r="J235">
        <v>87738</v>
      </c>
      <c r="K235">
        <v>0.92206709288764288</v>
      </c>
      <c r="L235">
        <f ca="1">IFERROR(__xludf.DUMMYFUNCTION("""COMPUTED_VALUE"""),286)</f>
        <v>286</v>
      </c>
      <c r="M235">
        <v>310</v>
      </c>
      <c r="N235">
        <v>87738</v>
      </c>
      <c r="O235">
        <f t="shared" ca="1" si="23"/>
        <v>0.92258064516129035</v>
      </c>
    </row>
    <row r="236" spans="1:15" x14ac:dyDescent="0.2">
      <c r="A236" t="str">
        <f ca="1">IFERROR(__xludf.DUMMYFUNCTION("""COMPUTED_VALUE"""),"mi")</f>
        <v>mi</v>
      </c>
      <c r="B236" t="str">
        <f ca="1">IFERROR(__xludf.DUMMYFUNCTION("""COMPUTED_VALUE"""),"Model S 60")</f>
        <v>Model S 60</v>
      </c>
      <c r="D236">
        <f ca="1">IFERROR(__xludf.DUMMYFUNCTION("""COMPUTED_VALUE"""),77500)</f>
        <v>77500</v>
      </c>
      <c r="E236">
        <f ca="1">IFERROR(__xludf.DUMMYFUNCTION("""COMPUTED_VALUE"""),191)</f>
        <v>191</v>
      </c>
      <c r="F236">
        <v>207</v>
      </c>
      <c r="G236">
        <v>0.92270531400966183</v>
      </c>
      <c r="H236">
        <v>77500</v>
      </c>
      <c r="I236">
        <v>124724</v>
      </c>
      <c r="J236">
        <v>77500</v>
      </c>
      <c r="K236">
        <v>0.92912643782666127</v>
      </c>
      <c r="L236">
        <f ca="1">IFERROR(__xludf.DUMMYFUNCTION("""COMPUTED_VALUE"""),191)</f>
        <v>191</v>
      </c>
      <c r="M236">
        <v>207</v>
      </c>
      <c r="N236">
        <v>77500</v>
      </c>
      <c r="O236">
        <f t="shared" ca="1" si="23"/>
        <v>0.92270531400966183</v>
      </c>
    </row>
    <row r="237" spans="1:15" x14ac:dyDescent="0.2">
      <c r="A237" t="str">
        <f ca="1">IFERROR(__xludf.DUMMYFUNCTION("""COMPUTED_VALUE"""),"mi")</f>
        <v>mi</v>
      </c>
      <c r="B237" t="str">
        <f ca="1">IFERROR(__xludf.DUMMYFUNCTION("""COMPUTED_VALUE"""),"Model S 60")</f>
        <v>Model S 60</v>
      </c>
      <c r="D237">
        <f ca="1">IFERROR(__xludf.DUMMYFUNCTION("""COMPUTED_VALUE"""),67736)</f>
        <v>67736</v>
      </c>
      <c r="E237">
        <f ca="1">IFERROR(__xludf.DUMMYFUNCTION("""COMPUTED_VALUE"""),191)</f>
        <v>191</v>
      </c>
      <c r="F237">
        <v>207</v>
      </c>
      <c r="G237">
        <v>0.92270531400966183</v>
      </c>
      <c r="H237">
        <v>67736</v>
      </c>
      <c r="I237">
        <v>109011</v>
      </c>
      <c r="J237">
        <v>67736</v>
      </c>
      <c r="K237">
        <v>0.93638004025482369</v>
      </c>
      <c r="L237">
        <f ca="1">IFERROR(__xludf.DUMMYFUNCTION("""COMPUTED_VALUE"""),191)</f>
        <v>191</v>
      </c>
      <c r="M237">
        <v>207</v>
      </c>
      <c r="N237">
        <v>67736</v>
      </c>
      <c r="O237">
        <f t="shared" ca="1" si="23"/>
        <v>0.92270531400966183</v>
      </c>
    </row>
    <row r="238" spans="1:15" x14ac:dyDescent="0.2">
      <c r="A238" t="str">
        <f ca="1">IFERROR(__xludf.DUMMYFUNCTION("""COMPUTED_VALUE"""),"mi")</f>
        <v>mi</v>
      </c>
      <c r="B238" t="str">
        <f ca="1">IFERROR(__xludf.DUMMYFUNCTION("""COMPUTED_VALUE"""),"Model S 60")</f>
        <v>Model S 60</v>
      </c>
      <c r="C238">
        <f ca="1">IFERROR(__xludf.DUMMYFUNCTION("""COMPUTED_VALUE"""),205)</f>
        <v>205</v>
      </c>
      <c r="D238">
        <f ca="1">IFERROR(__xludf.DUMMYFUNCTION("""COMPUTED_VALUE"""),17200)</f>
        <v>17200</v>
      </c>
      <c r="E238">
        <f ca="1">IFERROR(__xludf.DUMMYFUNCTION("""COMPUTED_VALUE"""),191)</f>
        <v>191</v>
      </c>
      <c r="F238">
        <v>207</v>
      </c>
      <c r="G238">
        <v>0.92270531400966183</v>
      </c>
      <c r="H238">
        <v>17200</v>
      </c>
      <c r="I238">
        <v>27681</v>
      </c>
      <c r="J238">
        <v>17200</v>
      </c>
      <c r="K238">
        <v>0.98172302148684198</v>
      </c>
      <c r="L238">
        <f ca="1">IFERROR(__xludf.DUMMYFUNCTION("""COMPUTED_VALUE"""),191)</f>
        <v>191</v>
      </c>
      <c r="M238">
        <v>207</v>
      </c>
      <c r="N238">
        <v>17200</v>
      </c>
      <c r="O238">
        <f t="shared" ca="1" si="23"/>
        <v>0.92270531400966183</v>
      </c>
    </row>
    <row r="239" spans="1:15" x14ac:dyDescent="0.2">
      <c r="A239" t="str">
        <f ca="1">IFERROR(__xludf.DUMMYFUNCTION("""COMPUTED_VALUE"""),"mi")</f>
        <v>mi</v>
      </c>
      <c r="B239" t="str">
        <f ca="1">IFERROR(__xludf.DUMMYFUNCTION("""COMPUTED_VALUE"""),"Model S 75D")</f>
        <v>Model S 75D</v>
      </c>
      <c r="D239">
        <f ca="1">IFERROR(__xludf.DUMMYFUNCTION("""COMPUTED_VALUE"""),61954)</f>
        <v>61954</v>
      </c>
      <c r="E239">
        <f ca="1">IFERROR(__xludf.DUMMYFUNCTION("""COMPUTED_VALUE"""),239)</f>
        <v>239</v>
      </c>
      <c r="F239">
        <v>259</v>
      </c>
      <c r="G239">
        <v>0.92277992277992282</v>
      </c>
      <c r="H239">
        <v>61954</v>
      </c>
      <c r="I239">
        <v>99705</v>
      </c>
      <c r="J239">
        <v>61954</v>
      </c>
      <c r="K239">
        <v>0.94091232283367576</v>
      </c>
      <c r="L239">
        <f ca="1">IFERROR(__xludf.DUMMYFUNCTION("""COMPUTED_VALUE"""),239)</f>
        <v>239</v>
      </c>
      <c r="M239">
        <v>259</v>
      </c>
      <c r="N239">
        <v>61954</v>
      </c>
      <c r="O239">
        <f t="shared" ca="1" si="23"/>
        <v>0.92277992277992282</v>
      </c>
    </row>
    <row r="240" spans="1:15" x14ac:dyDescent="0.2">
      <c r="A240" t="str">
        <f ca="1">IFERROR(__xludf.DUMMYFUNCTION("""COMPUTED_VALUE"""),"mi")</f>
        <v>mi</v>
      </c>
      <c r="B240" t="str">
        <f ca="1">IFERROR(__xludf.DUMMYFUNCTION("""COMPUTED_VALUE"""),"Model S 75D")</f>
        <v>Model S 75D</v>
      </c>
      <c r="C240">
        <f ca="1">IFERROR(__xludf.DUMMYFUNCTION("""COMPUTED_VALUE"""),265)</f>
        <v>265</v>
      </c>
      <c r="D240">
        <f ca="1">IFERROR(__xludf.DUMMYFUNCTION("""COMPUTED_VALUE"""),47500)</f>
        <v>47500</v>
      </c>
      <c r="E240">
        <f ca="1">IFERROR(__xludf.DUMMYFUNCTION("""COMPUTED_VALUE"""),239)</f>
        <v>239</v>
      </c>
      <c r="F240">
        <v>259</v>
      </c>
      <c r="G240">
        <v>0.92277992277992282</v>
      </c>
      <c r="H240">
        <v>47500</v>
      </c>
      <c r="I240">
        <v>76444</v>
      </c>
      <c r="J240">
        <v>47500</v>
      </c>
      <c r="K240">
        <v>0.95299616491981876</v>
      </c>
      <c r="L240">
        <f ca="1">IFERROR(__xludf.DUMMYFUNCTION("""COMPUTED_VALUE"""),239)</f>
        <v>239</v>
      </c>
      <c r="M240">
        <v>259</v>
      </c>
      <c r="N240">
        <v>47500</v>
      </c>
      <c r="O240">
        <f t="shared" ca="1" si="23"/>
        <v>0.92277992277992282</v>
      </c>
    </row>
    <row r="241" spans="1:15" x14ac:dyDescent="0.2">
      <c r="A241" t="str">
        <f ca="1">IFERROR(__xludf.DUMMYFUNCTION("""COMPUTED_VALUE"""),"km")</f>
        <v>km</v>
      </c>
      <c r="B241" t="str">
        <f ca="1">IFERROR(__xludf.DUMMYFUNCTION("""COMPUTED_VALUE"""),"Model S P85D")</f>
        <v>Model S P85D</v>
      </c>
      <c r="C241">
        <f ca="1">IFERROR(__xludf.DUMMYFUNCTION("""COMPUTED_VALUE"""),404)</f>
        <v>404</v>
      </c>
      <c r="D241">
        <f ca="1">IFERROR(__xludf.DUMMYFUNCTION("""COMPUTED_VALUE"""),147051)</f>
        <v>147051</v>
      </c>
      <c r="E241">
        <f ca="1">IFERROR(__xludf.DUMMYFUNCTION("""COMPUTED_VALUE"""),372)</f>
        <v>372</v>
      </c>
      <c r="F241">
        <v>403</v>
      </c>
      <c r="G241">
        <v>0.92307692307692313</v>
      </c>
      <c r="H241">
        <v>91373</v>
      </c>
      <c r="I241">
        <v>147051</v>
      </c>
      <c r="J241">
        <v>91373</v>
      </c>
      <c r="K241">
        <v>0.91969737984596212</v>
      </c>
      <c r="L241">
        <f ca="1">E241*0.621371</f>
        <v>231.150012</v>
      </c>
      <c r="M241">
        <f>F241*0.621371</f>
        <v>250.41251299999999</v>
      </c>
      <c r="N241">
        <v>91373</v>
      </c>
      <c r="O241">
        <f t="shared" ca="1" si="23"/>
        <v>0.92307692307692313</v>
      </c>
    </row>
    <row r="242" spans="1:15" x14ac:dyDescent="0.2">
      <c r="A242" t="str">
        <f ca="1">IFERROR(__xludf.DUMMYFUNCTION("""COMPUTED_VALUE"""),"mi")</f>
        <v>mi</v>
      </c>
      <c r="B242" t="str">
        <f ca="1">IFERROR(__xludf.DUMMYFUNCTION("""COMPUTED_VALUE"""),"Model 3 LR")</f>
        <v>Model 3 LR</v>
      </c>
      <c r="C242">
        <f ca="1">IFERROR(__xludf.DUMMYFUNCTION("""COMPUTED_VALUE"""),310)</f>
        <v>310</v>
      </c>
      <c r="D242">
        <f ca="1">IFERROR(__xludf.DUMMYFUNCTION("""COMPUTED_VALUE"""),42010)</f>
        <v>42010</v>
      </c>
      <c r="E242">
        <f ca="1">IFERROR(__xludf.DUMMYFUNCTION("""COMPUTED_VALUE"""),300)</f>
        <v>300</v>
      </c>
      <c r="F242">
        <v>325</v>
      </c>
      <c r="G242">
        <v>0.92307692307692313</v>
      </c>
      <c r="H242">
        <v>42010</v>
      </c>
      <c r="I242">
        <v>67609</v>
      </c>
      <c r="J242">
        <v>42010</v>
      </c>
      <c r="K242">
        <v>0.95786410750498341</v>
      </c>
      <c r="L242">
        <f ca="1">IFERROR(__xludf.DUMMYFUNCTION("""COMPUTED_VALUE"""),300)</f>
        <v>300</v>
      </c>
      <c r="M242">
        <v>325</v>
      </c>
      <c r="N242">
        <v>42010</v>
      </c>
      <c r="O242">
        <f t="shared" ca="1" si="23"/>
        <v>0.92307692307692313</v>
      </c>
    </row>
    <row r="243" spans="1:15" x14ac:dyDescent="0.2">
      <c r="A243" t="str">
        <f ca="1">IFERROR(__xludf.DUMMYFUNCTION("""COMPUTED_VALUE"""),"mi")</f>
        <v>mi</v>
      </c>
      <c r="B243" t="str">
        <f ca="1">IFERROR(__xludf.DUMMYFUNCTION("""COMPUTED_VALUE"""),"Model 3 LR")</f>
        <v>Model 3 LR</v>
      </c>
      <c r="C243">
        <f ca="1">IFERROR(__xludf.DUMMYFUNCTION("""COMPUTED_VALUE"""),310)</f>
        <v>310</v>
      </c>
      <c r="D243">
        <f ca="1">IFERROR(__xludf.DUMMYFUNCTION("""COMPUTED_VALUE"""),32000)</f>
        <v>32000</v>
      </c>
      <c r="E243">
        <f ca="1">IFERROR(__xludf.DUMMYFUNCTION("""COMPUTED_VALUE"""),300)</f>
        <v>300</v>
      </c>
      <c r="F243">
        <v>325</v>
      </c>
      <c r="G243">
        <v>0.92307692307692313</v>
      </c>
      <c r="H243">
        <v>32000</v>
      </c>
      <c r="I243">
        <v>51499</v>
      </c>
      <c r="J243">
        <v>32000</v>
      </c>
      <c r="K243">
        <v>0.96712765730058714</v>
      </c>
      <c r="L243">
        <f ca="1">IFERROR(__xludf.DUMMYFUNCTION("""COMPUTED_VALUE"""),300)</f>
        <v>300</v>
      </c>
      <c r="M243">
        <v>325</v>
      </c>
      <c r="N243">
        <v>32000</v>
      </c>
      <c r="O243">
        <f t="shared" ca="1" si="23"/>
        <v>0.92307692307692313</v>
      </c>
    </row>
    <row r="244" spans="1:15" x14ac:dyDescent="0.2">
      <c r="A244" t="str">
        <f ca="1">IFERROR(__xludf.DUMMYFUNCTION("""COMPUTED_VALUE"""),"km")</f>
        <v>km</v>
      </c>
      <c r="B244" t="str">
        <f ca="1">IFERROR(__xludf.DUMMYFUNCTION("""COMPUTED_VALUE"""),"Model 3 LR AWD")</f>
        <v>Model 3 LR AWD</v>
      </c>
      <c r="C244">
        <f ca="1">IFERROR(__xludf.DUMMYFUNCTION("""COMPUTED_VALUE"""),502)</f>
        <v>502</v>
      </c>
      <c r="D244">
        <f ca="1">IFERROR(__xludf.DUMMYFUNCTION("""COMPUTED_VALUE"""),24730)</f>
        <v>24730</v>
      </c>
      <c r="E244">
        <f ca="1">IFERROR(__xludf.DUMMYFUNCTION("""COMPUTED_VALUE"""),461)</f>
        <v>461</v>
      </c>
      <c r="F244">
        <v>499</v>
      </c>
      <c r="G244">
        <v>0.9238476953907816</v>
      </c>
      <c r="H244">
        <v>15367</v>
      </c>
      <c r="I244">
        <v>24730</v>
      </c>
      <c r="J244">
        <v>15367</v>
      </c>
      <c r="K244">
        <v>0.98360487503711835</v>
      </c>
      <c r="L244">
        <f t="shared" ref="L244:L257" ca="1" si="28">E244*0.621371</f>
        <v>286.45203099999998</v>
      </c>
      <c r="M244">
        <f t="shared" ref="M244:M257" si="29">F244*0.621371</f>
        <v>310.06412899999998</v>
      </c>
      <c r="N244">
        <v>15367</v>
      </c>
      <c r="O244">
        <f t="shared" ca="1" si="23"/>
        <v>0.9238476953907816</v>
      </c>
    </row>
    <row r="245" spans="1:15" x14ac:dyDescent="0.2">
      <c r="A245" t="str">
        <f ca="1">IFERROR(__xludf.DUMMYFUNCTION("""COMPUTED_VALUE"""),"km")</f>
        <v>km</v>
      </c>
      <c r="B245" t="str">
        <f ca="1">IFERROR(__xludf.DUMMYFUNCTION("""COMPUTED_VALUE"""),"Model S 90D")</f>
        <v>Model S 90D</v>
      </c>
      <c r="D245">
        <f ca="1">IFERROR(__xludf.DUMMYFUNCTION("""COMPUTED_VALUE"""),120500)</f>
        <v>120500</v>
      </c>
      <c r="E245">
        <f ca="1">IFERROR(__xludf.DUMMYFUNCTION("""COMPUTED_VALUE"""),413)</f>
        <v>413</v>
      </c>
      <c r="F245">
        <v>447</v>
      </c>
      <c r="G245">
        <v>0.92393736017897088</v>
      </c>
      <c r="H245">
        <v>74875</v>
      </c>
      <c r="I245">
        <v>120500</v>
      </c>
      <c r="J245">
        <v>74875</v>
      </c>
      <c r="K245">
        <v>0.93102671355638655</v>
      </c>
      <c r="L245">
        <f t="shared" ca="1" si="28"/>
        <v>256.62622299999998</v>
      </c>
      <c r="M245">
        <f t="shared" si="29"/>
        <v>277.752837</v>
      </c>
      <c r="N245">
        <v>74875</v>
      </c>
      <c r="O245">
        <f t="shared" ca="1" si="23"/>
        <v>0.92393736017897088</v>
      </c>
    </row>
    <row r="246" spans="1:15" x14ac:dyDescent="0.2">
      <c r="A246" t="str">
        <f ca="1">IFERROR(__xludf.DUMMYFUNCTION("""COMPUTED_VALUE"""),"km")</f>
        <v>km</v>
      </c>
      <c r="B246" t="str">
        <f ca="1">IFERROR(__xludf.DUMMYFUNCTION("""COMPUTED_VALUE"""),"Model S 90D")</f>
        <v>Model S 90D</v>
      </c>
      <c r="D246">
        <f ca="1">IFERROR(__xludf.DUMMYFUNCTION("""COMPUTED_VALUE"""),142900)</f>
        <v>142900</v>
      </c>
      <c r="E246">
        <f ca="1">IFERROR(__xludf.DUMMYFUNCTION("""COMPUTED_VALUE"""),413)</f>
        <v>413</v>
      </c>
      <c r="F246">
        <v>447</v>
      </c>
      <c r="G246">
        <v>0.92393736017897088</v>
      </c>
      <c r="H246">
        <v>88794</v>
      </c>
      <c r="I246">
        <v>142900</v>
      </c>
      <c r="J246">
        <v>88794</v>
      </c>
      <c r="K246">
        <v>0.92137143463477522</v>
      </c>
      <c r="L246">
        <f t="shared" ca="1" si="28"/>
        <v>256.62622299999998</v>
      </c>
      <c r="M246">
        <f t="shared" si="29"/>
        <v>277.752837</v>
      </c>
      <c r="N246">
        <v>88794</v>
      </c>
      <c r="O246">
        <f t="shared" ca="1" si="23"/>
        <v>0.92393736017897088</v>
      </c>
    </row>
    <row r="247" spans="1:15" x14ac:dyDescent="0.2">
      <c r="A247" t="str">
        <f ca="1">IFERROR(__xludf.DUMMYFUNCTION("""COMPUTED_VALUE"""),"km")</f>
        <v>km</v>
      </c>
      <c r="B247" t="str">
        <f ca="1">IFERROR(__xludf.DUMMYFUNCTION("""COMPUTED_VALUE"""),"Model S P85+")</f>
        <v>Model S P85+</v>
      </c>
      <c r="D247">
        <f ca="1">IFERROR(__xludf.DUMMYFUNCTION("""COMPUTED_VALUE"""),159500)</f>
        <v>159500</v>
      </c>
      <c r="E247">
        <f ca="1">IFERROR(__xludf.DUMMYFUNCTION("""COMPUTED_VALUE"""),365)</f>
        <v>365</v>
      </c>
      <c r="F247">
        <v>395</v>
      </c>
      <c r="G247">
        <v>0.92405063291139244</v>
      </c>
      <c r="H247">
        <v>99109</v>
      </c>
      <c r="I247">
        <v>159500</v>
      </c>
      <c r="J247">
        <v>99109</v>
      </c>
      <c r="K247">
        <v>0.91489602035387863</v>
      </c>
      <c r="L247">
        <f t="shared" ca="1" si="28"/>
        <v>226.80041500000002</v>
      </c>
      <c r="M247">
        <f t="shared" si="29"/>
        <v>245.44154499999999</v>
      </c>
      <c r="N247">
        <v>99109</v>
      </c>
      <c r="O247">
        <f t="shared" ca="1" si="23"/>
        <v>0.92405063291139256</v>
      </c>
    </row>
    <row r="248" spans="1:15" x14ac:dyDescent="0.2">
      <c r="A248" t="str">
        <f ca="1">IFERROR(__xludf.DUMMYFUNCTION("""COMPUTED_VALUE"""),"km")</f>
        <v>km</v>
      </c>
      <c r="B248" t="str">
        <f ca="1">IFERROR(__xludf.DUMMYFUNCTION("""COMPUTED_VALUE"""),"Model S 85")</f>
        <v>Model S 85</v>
      </c>
      <c r="D248">
        <f ca="1">IFERROR(__xludf.DUMMYFUNCTION("""COMPUTED_VALUE"""),180600)</f>
        <v>180600</v>
      </c>
      <c r="E248">
        <f ca="1">IFERROR(__xludf.DUMMYFUNCTION("""COMPUTED_VALUE"""),365)</f>
        <v>365</v>
      </c>
      <c r="F248">
        <v>395</v>
      </c>
      <c r="G248">
        <v>0.92405063291139244</v>
      </c>
      <c r="H248">
        <v>112220</v>
      </c>
      <c r="I248">
        <v>180600</v>
      </c>
      <c r="J248">
        <v>112220</v>
      </c>
      <c r="K248">
        <v>0.90751976297846326</v>
      </c>
      <c r="L248">
        <f t="shared" ca="1" si="28"/>
        <v>226.80041500000002</v>
      </c>
      <c r="M248">
        <f t="shared" si="29"/>
        <v>245.44154499999999</v>
      </c>
      <c r="N248">
        <v>112220</v>
      </c>
      <c r="O248">
        <f t="shared" ca="1" si="23"/>
        <v>0.92405063291139256</v>
      </c>
    </row>
    <row r="249" spans="1:15" x14ac:dyDescent="0.2">
      <c r="A249" t="str">
        <f ca="1">IFERROR(__xludf.DUMMYFUNCTION("""COMPUTED_VALUE"""),"km")</f>
        <v>km</v>
      </c>
      <c r="B249" t="str">
        <f ca="1">IFERROR(__xludf.DUMMYFUNCTION("""COMPUTED_VALUE"""),"Model S 85")</f>
        <v>Model S 85</v>
      </c>
      <c r="D249">
        <f ca="1">IFERROR(__xludf.DUMMYFUNCTION("""COMPUTED_VALUE"""),171735)</f>
        <v>171735</v>
      </c>
      <c r="E249">
        <f ca="1">IFERROR(__xludf.DUMMYFUNCTION("""COMPUTED_VALUE"""),365)</f>
        <v>365</v>
      </c>
      <c r="F249">
        <v>395</v>
      </c>
      <c r="G249">
        <v>0.92405063291139244</v>
      </c>
      <c r="H249">
        <v>106711</v>
      </c>
      <c r="I249">
        <v>171735</v>
      </c>
      <c r="J249">
        <v>106711</v>
      </c>
      <c r="K249">
        <v>0.91050104689983291</v>
      </c>
      <c r="L249">
        <f t="shared" ca="1" si="28"/>
        <v>226.80041500000002</v>
      </c>
      <c r="M249">
        <f t="shared" si="29"/>
        <v>245.44154499999999</v>
      </c>
      <c r="N249">
        <v>106711</v>
      </c>
      <c r="O249">
        <f t="shared" ca="1" si="23"/>
        <v>0.92405063291139256</v>
      </c>
    </row>
    <row r="250" spans="1:15" x14ac:dyDescent="0.2">
      <c r="A250" t="str">
        <f ca="1">IFERROR(__xludf.DUMMYFUNCTION("""COMPUTED_VALUE"""),"km")</f>
        <v>km</v>
      </c>
      <c r="B250" t="str">
        <f ca="1">IFERROR(__xludf.DUMMYFUNCTION("""COMPUTED_VALUE"""),"Model S P85")</f>
        <v>Model S P85</v>
      </c>
      <c r="C250">
        <f ca="1">IFERROR(__xludf.DUMMYFUNCTION("""COMPUTED_VALUE"""),400)</f>
        <v>400</v>
      </c>
      <c r="D250">
        <f ca="1">IFERROR(__xludf.DUMMYFUNCTION("""COMPUTED_VALUE"""),172000)</f>
        <v>172000</v>
      </c>
      <c r="E250">
        <f ca="1">IFERROR(__xludf.DUMMYFUNCTION("""COMPUTED_VALUE"""),365)</f>
        <v>365</v>
      </c>
      <c r="F250">
        <v>395</v>
      </c>
      <c r="G250">
        <v>0.92405063291139244</v>
      </c>
      <c r="H250">
        <v>106876</v>
      </c>
      <c r="I250">
        <v>172000</v>
      </c>
      <c r="J250">
        <v>106876</v>
      </c>
      <c r="K250">
        <v>0.91040944112053468</v>
      </c>
      <c r="L250">
        <f t="shared" ca="1" si="28"/>
        <v>226.80041500000002</v>
      </c>
      <c r="M250">
        <f t="shared" si="29"/>
        <v>245.44154499999999</v>
      </c>
      <c r="N250">
        <v>106876</v>
      </c>
      <c r="O250">
        <f t="shared" ca="1" si="23"/>
        <v>0.92405063291139256</v>
      </c>
    </row>
    <row r="251" spans="1:15" x14ac:dyDescent="0.2">
      <c r="A251" t="str">
        <f ca="1">IFERROR(__xludf.DUMMYFUNCTION("""COMPUTED_VALUE"""),"km")</f>
        <v>km</v>
      </c>
      <c r="B251" t="str">
        <f ca="1">IFERROR(__xludf.DUMMYFUNCTION("""COMPUTED_VALUE"""),"Model S 85")</f>
        <v>Model S 85</v>
      </c>
      <c r="D251">
        <f ca="1">IFERROR(__xludf.DUMMYFUNCTION("""COMPUTED_VALUE"""),42200)</f>
        <v>42200</v>
      </c>
      <c r="E251">
        <f ca="1">IFERROR(__xludf.DUMMYFUNCTION("""COMPUTED_VALUE"""),365)</f>
        <v>365</v>
      </c>
      <c r="F251">
        <v>395</v>
      </c>
      <c r="G251">
        <v>0.92405063291139244</v>
      </c>
      <c r="H251">
        <v>26222</v>
      </c>
      <c r="I251">
        <v>42200</v>
      </c>
      <c r="J251">
        <v>26222</v>
      </c>
      <c r="K251">
        <v>0.97269948044822641</v>
      </c>
      <c r="L251">
        <f t="shared" ca="1" si="28"/>
        <v>226.80041500000002</v>
      </c>
      <c r="M251">
        <f t="shared" si="29"/>
        <v>245.44154499999999</v>
      </c>
      <c r="N251">
        <v>26222</v>
      </c>
      <c r="O251">
        <f t="shared" ca="1" si="23"/>
        <v>0.92405063291139256</v>
      </c>
    </row>
    <row r="252" spans="1:15" x14ac:dyDescent="0.2">
      <c r="A252" t="str">
        <f ca="1">IFERROR(__xludf.DUMMYFUNCTION("""COMPUTED_VALUE"""),"km")</f>
        <v>km</v>
      </c>
      <c r="B252" t="str">
        <f ca="1">IFERROR(__xludf.DUMMYFUNCTION("""COMPUTED_VALUE"""),"Model S 85")</f>
        <v>Model S 85</v>
      </c>
      <c r="D252">
        <f ca="1">IFERROR(__xludf.DUMMYFUNCTION("""COMPUTED_VALUE"""),45777)</f>
        <v>45777</v>
      </c>
      <c r="E252">
        <f ca="1">IFERROR(__xludf.DUMMYFUNCTION("""COMPUTED_VALUE"""),365)</f>
        <v>365</v>
      </c>
      <c r="F252">
        <v>395</v>
      </c>
      <c r="G252">
        <v>0.92405063291139244</v>
      </c>
      <c r="H252">
        <v>28445</v>
      </c>
      <c r="I252">
        <v>45777</v>
      </c>
      <c r="J252">
        <v>28445</v>
      </c>
      <c r="K252">
        <v>0.97053688867179932</v>
      </c>
      <c r="L252">
        <f t="shared" ca="1" si="28"/>
        <v>226.80041500000002</v>
      </c>
      <c r="M252">
        <f t="shared" si="29"/>
        <v>245.44154499999999</v>
      </c>
      <c r="N252">
        <v>28445</v>
      </c>
      <c r="O252">
        <f t="shared" ca="1" si="23"/>
        <v>0.92405063291139256</v>
      </c>
    </row>
    <row r="253" spans="1:15" x14ac:dyDescent="0.2">
      <c r="A253" t="str">
        <f ca="1">IFERROR(__xludf.DUMMYFUNCTION("""COMPUTED_VALUE"""),"km")</f>
        <v>km</v>
      </c>
      <c r="B253" t="str">
        <f ca="1">IFERROR(__xludf.DUMMYFUNCTION("""COMPUTED_VALUE"""),"Model S 85")</f>
        <v>Model S 85</v>
      </c>
      <c r="C253">
        <f ca="1">IFERROR(__xludf.DUMMYFUNCTION("""COMPUTED_VALUE"""),383)</f>
        <v>383</v>
      </c>
      <c r="D253">
        <f ca="1">IFERROR(__xludf.DUMMYFUNCTION("""COMPUTED_VALUE"""),83000)</f>
        <v>83000</v>
      </c>
      <c r="E253">
        <f ca="1">IFERROR(__xludf.DUMMYFUNCTION("""COMPUTED_VALUE"""),365)</f>
        <v>365</v>
      </c>
      <c r="F253">
        <v>395</v>
      </c>
      <c r="G253">
        <v>0.92405063291139244</v>
      </c>
      <c r="H253">
        <v>51574</v>
      </c>
      <c r="I253">
        <v>83000</v>
      </c>
      <c r="J253">
        <v>51574</v>
      </c>
      <c r="K253">
        <v>0.9494823008021489</v>
      </c>
      <c r="L253">
        <f t="shared" ca="1" si="28"/>
        <v>226.80041500000002</v>
      </c>
      <c r="M253">
        <f t="shared" si="29"/>
        <v>245.44154499999999</v>
      </c>
      <c r="N253">
        <v>51574</v>
      </c>
      <c r="O253">
        <f t="shared" ca="1" si="23"/>
        <v>0.92405063291139256</v>
      </c>
    </row>
    <row r="254" spans="1:15" x14ac:dyDescent="0.2">
      <c r="A254" t="str">
        <f ca="1">IFERROR(__xludf.DUMMYFUNCTION("""COMPUTED_VALUE"""),"km")</f>
        <v>km</v>
      </c>
      <c r="B254" t="str">
        <f ca="1">IFERROR(__xludf.DUMMYFUNCTION("""COMPUTED_VALUE"""),"Model S 85")</f>
        <v>Model S 85</v>
      </c>
      <c r="C254">
        <f ca="1">IFERROR(__xludf.DUMMYFUNCTION("""COMPUTED_VALUE"""),400)</f>
        <v>400</v>
      </c>
      <c r="D254">
        <f ca="1">IFERROR(__xludf.DUMMYFUNCTION("""COMPUTED_VALUE"""),63000)</f>
        <v>63000</v>
      </c>
      <c r="E254">
        <f ca="1">IFERROR(__xludf.DUMMYFUNCTION("""COMPUTED_VALUE"""),365)</f>
        <v>365</v>
      </c>
      <c r="F254">
        <v>395</v>
      </c>
      <c r="G254">
        <v>0.92405063291139244</v>
      </c>
      <c r="H254">
        <v>39146</v>
      </c>
      <c r="I254">
        <v>63000</v>
      </c>
      <c r="J254">
        <v>39146</v>
      </c>
      <c r="K254">
        <v>0.96046355418251395</v>
      </c>
      <c r="L254">
        <f t="shared" ca="1" si="28"/>
        <v>226.80041500000002</v>
      </c>
      <c r="M254">
        <f t="shared" si="29"/>
        <v>245.44154499999999</v>
      </c>
      <c r="N254">
        <v>39146</v>
      </c>
      <c r="O254">
        <f t="shared" ca="1" si="23"/>
        <v>0.92405063291139256</v>
      </c>
    </row>
    <row r="255" spans="1:15" x14ac:dyDescent="0.2">
      <c r="A255" t="str">
        <f ca="1">IFERROR(__xludf.DUMMYFUNCTION("""COMPUTED_VALUE"""),"km")</f>
        <v>km</v>
      </c>
      <c r="B255" t="str">
        <f ca="1">IFERROR(__xludf.DUMMYFUNCTION("""COMPUTED_VALUE"""),"Model S 85")</f>
        <v>Model S 85</v>
      </c>
      <c r="C255">
        <f ca="1">IFERROR(__xludf.DUMMYFUNCTION("""COMPUTED_VALUE"""),399)</f>
        <v>399</v>
      </c>
      <c r="D255">
        <f ca="1">IFERROR(__xludf.DUMMYFUNCTION("""COMPUTED_VALUE"""),78676)</f>
        <v>78676</v>
      </c>
      <c r="E255">
        <f ca="1">IFERROR(__xludf.DUMMYFUNCTION("""COMPUTED_VALUE"""),365)</f>
        <v>365</v>
      </c>
      <c r="F255">
        <v>395</v>
      </c>
      <c r="G255">
        <v>0.92405063291139244</v>
      </c>
      <c r="H255">
        <v>48887</v>
      </c>
      <c r="I255">
        <v>78676</v>
      </c>
      <c r="J255">
        <v>48887</v>
      </c>
      <c r="K255">
        <v>0.95179041477740389</v>
      </c>
      <c r="L255">
        <f t="shared" ca="1" si="28"/>
        <v>226.80041500000002</v>
      </c>
      <c r="M255">
        <f t="shared" si="29"/>
        <v>245.44154499999999</v>
      </c>
      <c r="N255">
        <v>48887</v>
      </c>
      <c r="O255">
        <f t="shared" ca="1" si="23"/>
        <v>0.92405063291139256</v>
      </c>
    </row>
    <row r="256" spans="1:15" x14ac:dyDescent="0.2">
      <c r="A256" t="str">
        <f ca="1">IFERROR(__xludf.DUMMYFUNCTION("""COMPUTED_VALUE"""),"km")</f>
        <v>km</v>
      </c>
      <c r="B256" t="str">
        <f ca="1">IFERROR(__xludf.DUMMYFUNCTION("""COMPUTED_VALUE"""),"Model S P85+")</f>
        <v>Model S P85+</v>
      </c>
      <c r="D256">
        <f ca="1">IFERROR(__xludf.DUMMYFUNCTION("""COMPUTED_VALUE"""),55125)</f>
        <v>55125</v>
      </c>
      <c r="E256">
        <f ca="1">IFERROR(__xludf.DUMMYFUNCTION("""COMPUTED_VALUE"""),365)</f>
        <v>365</v>
      </c>
      <c r="F256">
        <v>395</v>
      </c>
      <c r="G256">
        <v>0.92405063291139244</v>
      </c>
      <c r="H256">
        <v>34253</v>
      </c>
      <c r="I256">
        <v>55125</v>
      </c>
      <c r="J256">
        <v>34253</v>
      </c>
      <c r="K256">
        <v>0.96499937556695881</v>
      </c>
      <c r="L256">
        <f t="shared" ca="1" si="28"/>
        <v>226.80041500000002</v>
      </c>
      <c r="M256">
        <f t="shared" si="29"/>
        <v>245.44154499999999</v>
      </c>
      <c r="N256">
        <v>34253</v>
      </c>
      <c r="O256">
        <f t="shared" ca="1" si="23"/>
        <v>0.92405063291139256</v>
      </c>
    </row>
    <row r="257" spans="1:15" x14ac:dyDescent="0.2">
      <c r="A257" t="str">
        <f ca="1">IFERROR(__xludf.DUMMYFUNCTION("""COMPUTED_VALUE"""),"km")</f>
        <v>km</v>
      </c>
      <c r="B257" t="str">
        <f ca="1">IFERROR(__xludf.DUMMYFUNCTION("""COMPUTED_VALUE"""),"Model S 85")</f>
        <v>Model S 85</v>
      </c>
      <c r="D257">
        <f ca="1">IFERROR(__xludf.DUMMYFUNCTION("""COMPUTED_VALUE"""),69239)</f>
        <v>69239</v>
      </c>
      <c r="E257">
        <f ca="1">IFERROR(__xludf.DUMMYFUNCTION("""COMPUTED_VALUE"""),365)</f>
        <v>365</v>
      </c>
      <c r="F257">
        <v>395</v>
      </c>
      <c r="G257">
        <v>0.92405063291139244</v>
      </c>
      <c r="H257">
        <v>43023</v>
      </c>
      <c r="I257">
        <v>69239</v>
      </c>
      <c r="J257">
        <v>43023</v>
      </c>
      <c r="K257">
        <v>0.95695461213165256</v>
      </c>
      <c r="L257">
        <f t="shared" ca="1" si="28"/>
        <v>226.80041500000002</v>
      </c>
      <c r="M257">
        <f t="shared" si="29"/>
        <v>245.44154499999999</v>
      </c>
      <c r="N257">
        <v>43023</v>
      </c>
      <c r="O257">
        <f t="shared" ca="1" si="23"/>
        <v>0.92405063291139256</v>
      </c>
    </row>
    <row r="258" spans="1:15" x14ac:dyDescent="0.2">
      <c r="A258" t="str">
        <f ca="1">IFERROR(__xludf.DUMMYFUNCTION("""COMPUTED_VALUE"""),"mi")</f>
        <v>mi</v>
      </c>
      <c r="B258" t="str">
        <f ca="1">IFERROR(__xludf.DUMMYFUNCTION("""COMPUTED_VALUE"""),"Model S 90D")</f>
        <v>Model S 90D</v>
      </c>
      <c r="C258">
        <f ca="1">IFERROR(__xludf.DUMMYFUNCTION("""COMPUTED_VALUE"""),292)</f>
        <v>292</v>
      </c>
      <c r="D258">
        <f ca="1">IFERROR(__xludf.DUMMYFUNCTION("""COMPUTED_VALUE"""),70206)</f>
        <v>70206</v>
      </c>
      <c r="E258">
        <f ca="1">IFERROR(__xludf.DUMMYFUNCTION("""COMPUTED_VALUE"""),270)</f>
        <v>270</v>
      </c>
      <c r="F258">
        <v>292</v>
      </c>
      <c r="G258">
        <v>0.92465753424657537</v>
      </c>
      <c r="H258">
        <v>70206</v>
      </c>
      <c r="I258">
        <v>112986</v>
      </c>
      <c r="J258">
        <v>70206</v>
      </c>
      <c r="K258">
        <v>0.93449745609112167</v>
      </c>
      <c r="L258">
        <f ca="1">IFERROR(__xludf.DUMMYFUNCTION("""COMPUTED_VALUE"""),270)</f>
        <v>270</v>
      </c>
      <c r="M258">
        <v>292</v>
      </c>
      <c r="N258">
        <v>70206</v>
      </c>
      <c r="O258">
        <f t="shared" ref="O258:O321" ca="1" si="30">L258/M258</f>
        <v>0.92465753424657537</v>
      </c>
    </row>
    <row r="259" spans="1:15" x14ac:dyDescent="0.2">
      <c r="A259" t="str">
        <f ca="1">IFERROR(__xludf.DUMMYFUNCTION("""COMPUTED_VALUE"""),"km")</f>
        <v>km</v>
      </c>
      <c r="B259" t="str">
        <f ca="1">IFERROR(__xludf.DUMMYFUNCTION("""COMPUTED_VALUE"""),"Model S 85D")</f>
        <v>Model S 85D</v>
      </c>
      <c r="C259">
        <f ca="1">IFERROR(__xludf.DUMMYFUNCTION("""COMPUTED_VALUE"""),404)</f>
        <v>404</v>
      </c>
      <c r="D259">
        <f ca="1">IFERROR(__xludf.DUMMYFUNCTION("""COMPUTED_VALUE"""),32161)</f>
        <v>32161</v>
      </c>
      <c r="E259">
        <f ca="1">IFERROR(__xludf.DUMMYFUNCTION("""COMPUTED_VALUE"""),393)</f>
        <v>393</v>
      </c>
      <c r="F259">
        <v>425</v>
      </c>
      <c r="G259">
        <v>0.92470588235294116</v>
      </c>
      <c r="H259">
        <v>19984</v>
      </c>
      <c r="I259">
        <v>32161</v>
      </c>
      <c r="J259">
        <v>19984</v>
      </c>
      <c r="K259">
        <v>0.97889688048610812</v>
      </c>
      <c r="L259">
        <f ca="1">E259*0.621371</f>
        <v>244.198803</v>
      </c>
      <c r="M259">
        <f>F259*0.621371</f>
        <v>264.08267499999999</v>
      </c>
      <c r="N259">
        <v>19984</v>
      </c>
      <c r="O259">
        <f t="shared" ca="1" si="30"/>
        <v>0.92470588235294116</v>
      </c>
    </row>
    <row r="260" spans="1:15" x14ac:dyDescent="0.2">
      <c r="A260" t="str">
        <f ca="1">IFERROR(__xludf.DUMMYFUNCTION("""COMPUTED_VALUE"""),"km")</f>
        <v>km</v>
      </c>
      <c r="B260" t="str">
        <f ca="1">IFERROR(__xludf.DUMMYFUNCTION("""COMPUTED_VALUE"""),"Model S 85D")</f>
        <v>Model S 85D</v>
      </c>
      <c r="D260">
        <f ca="1">IFERROR(__xludf.DUMMYFUNCTION("""COMPUTED_VALUE"""),18650)</f>
        <v>18650</v>
      </c>
      <c r="E260">
        <f ca="1">IFERROR(__xludf.DUMMYFUNCTION("""COMPUTED_VALUE"""),393)</f>
        <v>393</v>
      </c>
      <c r="F260">
        <v>425</v>
      </c>
      <c r="G260">
        <v>0.92470588235294116</v>
      </c>
      <c r="H260">
        <v>11589</v>
      </c>
      <c r="I260">
        <v>18650</v>
      </c>
      <c r="J260">
        <v>11589</v>
      </c>
      <c r="K260">
        <v>0.98753256215108409</v>
      </c>
      <c r="L260">
        <f ca="1">E260*0.621371</f>
        <v>244.198803</v>
      </c>
      <c r="M260">
        <f>F260*0.621371</f>
        <v>264.08267499999999</v>
      </c>
      <c r="N260">
        <v>11589</v>
      </c>
      <c r="O260">
        <f t="shared" ca="1" si="30"/>
        <v>0.92470588235294116</v>
      </c>
    </row>
    <row r="261" spans="1:15" x14ac:dyDescent="0.2">
      <c r="A261" t="str">
        <f ca="1">IFERROR(__xludf.DUMMYFUNCTION("""COMPUTED_VALUE"""),"mi")</f>
        <v>mi</v>
      </c>
      <c r="B261" t="str">
        <f ca="1">IFERROR(__xludf.DUMMYFUNCTION("""COMPUTED_VALUE"""),"Model S 85D")</f>
        <v>Model S 85D</v>
      </c>
      <c r="C261">
        <f ca="1">IFERROR(__xludf.DUMMYFUNCTION("""COMPUTED_VALUE"""),412)</f>
        <v>412</v>
      </c>
      <c r="D261">
        <f ca="1">IFERROR(__xludf.DUMMYFUNCTION("""COMPUTED_VALUE"""),209136)</f>
        <v>209136</v>
      </c>
      <c r="E261">
        <f ca="1">IFERROR(__xludf.DUMMYFUNCTION("""COMPUTED_VALUE"""),393)</f>
        <v>393</v>
      </c>
      <c r="F261">
        <v>425</v>
      </c>
      <c r="G261">
        <v>0.92470588235294116</v>
      </c>
      <c r="H261">
        <v>209136</v>
      </c>
      <c r="I261">
        <v>336572</v>
      </c>
      <c r="J261">
        <v>209136</v>
      </c>
      <c r="K261">
        <v>0.88495071870922581</v>
      </c>
      <c r="L261">
        <f ca="1">IFERROR(__xludf.DUMMYFUNCTION("""COMPUTED_VALUE"""),393)</f>
        <v>393</v>
      </c>
      <c r="M261">
        <v>425</v>
      </c>
      <c r="N261">
        <v>209136</v>
      </c>
      <c r="O261">
        <f t="shared" ca="1" si="30"/>
        <v>0.92470588235294116</v>
      </c>
    </row>
    <row r="262" spans="1:15" x14ac:dyDescent="0.2">
      <c r="A262" t="str">
        <f ca="1">IFERROR(__xludf.DUMMYFUNCTION("""COMPUTED_VALUE"""),"mi")</f>
        <v>mi</v>
      </c>
      <c r="B262" t="str">
        <f ca="1">IFERROR(__xludf.DUMMYFUNCTION("""COMPUTED_VALUE"""),"Model S P85")</f>
        <v>Model S P85</v>
      </c>
      <c r="C262">
        <f ca="1">IFERROR(__xludf.DUMMYFUNCTION("""COMPUTED_VALUE"""),260)</f>
        <v>260</v>
      </c>
      <c r="D262">
        <f ca="1">IFERROR(__xludf.DUMMYFUNCTION("""COMPUTED_VALUE"""),112172)</f>
        <v>112172</v>
      </c>
      <c r="E262">
        <f ca="1">IFERROR(__xludf.DUMMYFUNCTION("""COMPUTED_VALUE"""),246)</f>
        <v>246</v>
      </c>
      <c r="F262">
        <v>266</v>
      </c>
      <c r="G262">
        <v>0.92481203007518797</v>
      </c>
      <c r="H262">
        <v>112172</v>
      </c>
      <c r="I262">
        <v>180523</v>
      </c>
      <c r="J262">
        <v>112172</v>
      </c>
      <c r="K262">
        <v>0.9075449171984884</v>
      </c>
      <c r="L262">
        <f ca="1">IFERROR(__xludf.DUMMYFUNCTION("""COMPUTED_VALUE"""),246)</f>
        <v>246</v>
      </c>
      <c r="M262">
        <v>266</v>
      </c>
      <c r="N262">
        <v>112172</v>
      </c>
      <c r="O262">
        <f t="shared" ca="1" si="30"/>
        <v>0.92481203007518797</v>
      </c>
    </row>
    <row r="263" spans="1:15" x14ac:dyDescent="0.2">
      <c r="A263" t="str">
        <f ca="1">IFERROR(__xludf.DUMMYFUNCTION("""COMPUTED_VALUE"""),"km")</f>
        <v>km</v>
      </c>
      <c r="B263" t="str">
        <f ca="1">IFERROR(__xludf.DUMMYFUNCTION("""COMPUTED_VALUE"""),"Model X 90D")</f>
        <v>Model X 90D</v>
      </c>
      <c r="D263">
        <f ca="1">IFERROR(__xludf.DUMMYFUNCTION("""COMPUTED_VALUE"""),56417)</f>
        <v>56417</v>
      </c>
      <c r="E263">
        <f ca="1">IFERROR(__xludf.DUMMYFUNCTION("""COMPUTED_VALUE"""),370)</f>
        <v>370</v>
      </c>
      <c r="F263">
        <v>400</v>
      </c>
      <c r="G263">
        <v>0.92500000000000004</v>
      </c>
      <c r="H263">
        <v>35056</v>
      </c>
      <c r="I263">
        <v>56417</v>
      </c>
      <c r="J263">
        <v>35056</v>
      </c>
      <c r="K263">
        <v>0.9642470830249158</v>
      </c>
      <c r="L263">
        <f t="shared" ref="L263:M269" ca="1" si="31">E263*0.621371</f>
        <v>229.90727000000001</v>
      </c>
      <c r="M263">
        <f t="shared" si="31"/>
        <v>248.54840000000002</v>
      </c>
      <c r="N263">
        <v>35056</v>
      </c>
      <c r="O263">
        <f t="shared" ca="1" si="30"/>
        <v>0.92499999999999993</v>
      </c>
    </row>
    <row r="264" spans="1:15" x14ac:dyDescent="0.2">
      <c r="A264" t="str">
        <f ca="1">IFERROR(__xludf.DUMMYFUNCTION("""COMPUTED_VALUE"""),"km")</f>
        <v>km</v>
      </c>
      <c r="B264" t="str">
        <f ca="1">IFERROR(__xludf.DUMMYFUNCTION("""COMPUTED_VALUE"""),"Model S 85")</f>
        <v>Model S 85</v>
      </c>
      <c r="D264">
        <f ca="1">IFERROR(__xludf.DUMMYFUNCTION("""COMPUTED_VALUE"""),109350)</f>
        <v>109350</v>
      </c>
      <c r="E264">
        <f ca="1">IFERROR(__xludf.DUMMYFUNCTION("""COMPUTED_VALUE"""),396)</f>
        <v>396</v>
      </c>
      <c r="F264">
        <v>428</v>
      </c>
      <c r="G264">
        <v>0.92523364485981308</v>
      </c>
      <c r="H264">
        <v>67947</v>
      </c>
      <c r="I264">
        <v>109350</v>
      </c>
      <c r="J264">
        <v>67947</v>
      </c>
      <c r="K264">
        <v>0.93621823756155698</v>
      </c>
      <c r="L264">
        <f t="shared" ca="1" si="31"/>
        <v>246.062916</v>
      </c>
      <c r="M264">
        <f t="shared" si="31"/>
        <v>265.94678800000003</v>
      </c>
      <c r="N264">
        <v>67947</v>
      </c>
      <c r="O264">
        <f t="shared" ca="1" si="30"/>
        <v>0.92523364485981296</v>
      </c>
    </row>
    <row r="265" spans="1:15" x14ac:dyDescent="0.2">
      <c r="A265" t="str">
        <f ca="1">IFERROR(__xludf.DUMMYFUNCTION("""COMPUTED_VALUE"""),"km")</f>
        <v>km</v>
      </c>
      <c r="B265" t="str">
        <f ca="1">IFERROR(__xludf.DUMMYFUNCTION("""COMPUTED_VALUE"""),"Model S 100D")</f>
        <v>Model S 100D</v>
      </c>
      <c r="C265">
        <f ca="1">IFERROR(__xludf.DUMMYFUNCTION("""COMPUTED_VALUE"""),508)</f>
        <v>508</v>
      </c>
      <c r="D265">
        <f ca="1">IFERROR(__xludf.DUMMYFUNCTION("""COMPUTED_VALUE"""),66000)</f>
        <v>66000</v>
      </c>
      <c r="E265">
        <f ca="1">IFERROR(__xludf.DUMMYFUNCTION("""COMPUTED_VALUE"""),472)</f>
        <v>472</v>
      </c>
      <c r="F265">
        <v>510</v>
      </c>
      <c r="G265">
        <v>0.92549019607843142</v>
      </c>
      <c r="H265">
        <v>41010</v>
      </c>
      <c r="I265">
        <v>66000</v>
      </c>
      <c r="J265">
        <v>41010</v>
      </c>
      <c r="K265">
        <v>0.95876692062760904</v>
      </c>
      <c r="L265">
        <f t="shared" ca="1" si="31"/>
        <v>293.28711199999998</v>
      </c>
      <c r="M265">
        <f t="shared" si="31"/>
        <v>316.89920999999998</v>
      </c>
      <c r="N265">
        <v>41010</v>
      </c>
      <c r="O265">
        <f t="shared" ca="1" si="30"/>
        <v>0.9254901960784313</v>
      </c>
    </row>
    <row r="266" spans="1:15" x14ac:dyDescent="0.2">
      <c r="A266" t="str">
        <f ca="1">IFERROR(__xludf.DUMMYFUNCTION("""COMPUTED_VALUE"""),"km")</f>
        <v>km</v>
      </c>
      <c r="B266" t="str">
        <f ca="1">IFERROR(__xludf.DUMMYFUNCTION("""COMPUTED_VALUE"""),"Model S P85D")</f>
        <v>Model S P85D</v>
      </c>
      <c r="D266">
        <f ca="1">IFERROR(__xludf.DUMMYFUNCTION("""COMPUTED_VALUE"""),84981)</f>
        <v>84981</v>
      </c>
      <c r="E266">
        <f ca="1">IFERROR(__xludf.DUMMYFUNCTION("""COMPUTED_VALUE"""),373)</f>
        <v>373</v>
      </c>
      <c r="F266">
        <v>403</v>
      </c>
      <c r="G266">
        <v>0.92555831265508681</v>
      </c>
      <c r="H266">
        <v>52805</v>
      </c>
      <c r="I266">
        <v>84981</v>
      </c>
      <c r="J266">
        <v>52805</v>
      </c>
      <c r="K266">
        <v>0.94843712929810597</v>
      </c>
      <c r="L266">
        <f t="shared" ca="1" si="31"/>
        <v>231.77138300000001</v>
      </c>
      <c r="M266">
        <f t="shared" si="31"/>
        <v>250.41251299999999</v>
      </c>
      <c r="N266">
        <v>52805</v>
      </c>
      <c r="O266">
        <f t="shared" ca="1" si="30"/>
        <v>0.92555831265508692</v>
      </c>
    </row>
    <row r="267" spans="1:15" x14ac:dyDescent="0.2">
      <c r="A267" t="str">
        <f ca="1">IFERROR(__xludf.DUMMYFUNCTION("""COMPUTED_VALUE"""),"km")</f>
        <v>km</v>
      </c>
      <c r="B267" t="str">
        <f ca="1">IFERROR(__xludf.DUMMYFUNCTION("""COMPUTED_VALUE"""),"Model S P85D")</f>
        <v>Model S P85D</v>
      </c>
      <c r="C267">
        <f ca="1">IFERROR(__xludf.DUMMYFUNCTION("""COMPUTED_VALUE"""),404)</f>
        <v>404</v>
      </c>
      <c r="D267">
        <f ca="1">IFERROR(__xludf.DUMMYFUNCTION("""COMPUTED_VALUE"""),130817)</f>
        <v>130817</v>
      </c>
      <c r="E267">
        <f ca="1">IFERROR(__xludf.DUMMYFUNCTION("""COMPUTED_VALUE"""),373)</f>
        <v>373</v>
      </c>
      <c r="F267">
        <v>403</v>
      </c>
      <c r="G267">
        <v>0.92555831265508681</v>
      </c>
      <c r="H267">
        <v>81286</v>
      </c>
      <c r="I267">
        <v>130817</v>
      </c>
      <c r="J267">
        <v>81286</v>
      </c>
      <c r="K267">
        <v>0.92645019236984449</v>
      </c>
      <c r="L267">
        <f t="shared" ca="1" si="31"/>
        <v>231.77138300000001</v>
      </c>
      <c r="M267">
        <f t="shared" si="31"/>
        <v>250.41251299999999</v>
      </c>
      <c r="N267">
        <v>81286</v>
      </c>
      <c r="O267">
        <f t="shared" ca="1" si="30"/>
        <v>0.92555831265508692</v>
      </c>
    </row>
    <row r="268" spans="1:15" x14ac:dyDescent="0.2">
      <c r="A268" t="str">
        <f ca="1">IFERROR(__xludf.DUMMYFUNCTION("""COMPUTED_VALUE"""),"km")</f>
        <v>km</v>
      </c>
      <c r="B268" t="str">
        <f ca="1">IFERROR(__xludf.DUMMYFUNCTION("""COMPUTED_VALUE"""),"Model S P85D")</f>
        <v>Model S P85D</v>
      </c>
      <c r="C268">
        <f ca="1">IFERROR(__xludf.DUMMYFUNCTION("""COMPUTED_VALUE"""),404)</f>
        <v>404</v>
      </c>
      <c r="D268">
        <f ca="1">IFERROR(__xludf.DUMMYFUNCTION("""COMPUTED_VALUE"""),142606)</f>
        <v>142606</v>
      </c>
      <c r="E268">
        <f ca="1">IFERROR(__xludf.DUMMYFUNCTION("""COMPUTED_VALUE"""),373)</f>
        <v>373</v>
      </c>
      <c r="F268">
        <v>403</v>
      </c>
      <c r="G268">
        <v>0.92555831265508681</v>
      </c>
      <c r="H268">
        <v>88611</v>
      </c>
      <c r="I268">
        <v>142606</v>
      </c>
      <c r="J268">
        <v>88611</v>
      </c>
      <c r="K268">
        <v>0.9214913790286321</v>
      </c>
      <c r="L268">
        <f t="shared" ca="1" si="31"/>
        <v>231.77138300000001</v>
      </c>
      <c r="M268">
        <f t="shared" si="31"/>
        <v>250.41251299999999</v>
      </c>
      <c r="N268">
        <v>88611</v>
      </c>
      <c r="O268">
        <f t="shared" ca="1" si="30"/>
        <v>0.92555831265508692</v>
      </c>
    </row>
    <row r="269" spans="1:15" x14ac:dyDescent="0.2">
      <c r="A269" t="str">
        <f ca="1">IFERROR(__xludf.DUMMYFUNCTION("""COMPUTED_VALUE"""),"km")</f>
        <v>km</v>
      </c>
      <c r="B269" t="str">
        <f ca="1">IFERROR(__xludf.DUMMYFUNCTION("""COMPUTED_VALUE"""),"Model S P85D")</f>
        <v>Model S P85D</v>
      </c>
      <c r="D269">
        <f ca="1">IFERROR(__xludf.DUMMYFUNCTION("""COMPUTED_VALUE"""),112572)</f>
        <v>112572</v>
      </c>
      <c r="E269">
        <f ca="1">IFERROR(__xludf.DUMMYFUNCTION("""COMPUTED_VALUE"""),373)</f>
        <v>373</v>
      </c>
      <c r="F269">
        <v>403</v>
      </c>
      <c r="G269">
        <v>0.92555831265508681</v>
      </c>
      <c r="H269">
        <v>69949</v>
      </c>
      <c r="I269">
        <v>112572</v>
      </c>
      <c r="J269">
        <v>69949</v>
      </c>
      <c r="K269">
        <v>0.93469203184480532</v>
      </c>
      <c r="L269">
        <f t="shared" ca="1" si="31"/>
        <v>231.77138300000001</v>
      </c>
      <c r="M269">
        <f t="shared" si="31"/>
        <v>250.41251299999999</v>
      </c>
      <c r="N269">
        <v>69949</v>
      </c>
      <c r="O269">
        <f t="shared" ca="1" si="30"/>
        <v>0.92555831265508692</v>
      </c>
    </row>
    <row r="270" spans="1:15" x14ac:dyDescent="0.2">
      <c r="A270" t="str">
        <f ca="1">IFERROR(__xludf.DUMMYFUNCTION("""COMPUTED_VALUE"""),"mi")</f>
        <v>mi</v>
      </c>
      <c r="B270" t="str">
        <f ca="1">IFERROR(__xludf.DUMMYFUNCTION("""COMPUTED_VALUE"""),"Model 3 LR AWD")</f>
        <v>Model 3 LR AWD</v>
      </c>
      <c r="C270">
        <f ca="1">IFERROR(__xludf.DUMMYFUNCTION("""COMPUTED_VALUE"""),310)</f>
        <v>310</v>
      </c>
      <c r="D270">
        <f ca="1">IFERROR(__xludf.DUMMYFUNCTION("""COMPUTED_VALUE"""),84344)</f>
        <v>84344</v>
      </c>
      <c r="E270">
        <f ca="1">IFERROR(__xludf.DUMMYFUNCTION("""COMPUTED_VALUE"""),287)</f>
        <v>287</v>
      </c>
      <c r="F270">
        <v>310</v>
      </c>
      <c r="G270">
        <v>0.9258064516129032</v>
      </c>
      <c r="H270">
        <v>84344</v>
      </c>
      <c r="I270">
        <v>135739</v>
      </c>
      <c r="J270">
        <v>84344</v>
      </c>
      <c r="K270">
        <v>0.9243445414174225</v>
      </c>
      <c r="L270">
        <f ca="1">IFERROR(__xludf.DUMMYFUNCTION("""COMPUTED_VALUE"""),287)</f>
        <v>287</v>
      </c>
      <c r="M270">
        <v>310</v>
      </c>
      <c r="N270">
        <v>84344</v>
      </c>
      <c r="O270">
        <f t="shared" ca="1" si="30"/>
        <v>0.9258064516129032</v>
      </c>
    </row>
    <row r="271" spans="1:15" x14ac:dyDescent="0.2">
      <c r="A271" t="str">
        <f ca="1">IFERROR(__xludf.DUMMYFUNCTION("""COMPUTED_VALUE"""),"km")</f>
        <v>km</v>
      </c>
      <c r="B271" t="str">
        <f ca="1">IFERROR(__xludf.DUMMYFUNCTION("""COMPUTED_VALUE"""),"Model 3 LR AWD")</f>
        <v>Model 3 LR AWD</v>
      </c>
      <c r="C271">
        <f ca="1">IFERROR(__xludf.DUMMYFUNCTION("""COMPUTED_VALUE"""),550)</f>
        <v>550</v>
      </c>
      <c r="D271">
        <f ca="1">IFERROR(__xludf.DUMMYFUNCTION("""COMPUTED_VALUE"""),100000)</f>
        <v>100000</v>
      </c>
      <c r="E271">
        <f ca="1">IFERROR(__xludf.DUMMYFUNCTION("""COMPUTED_VALUE"""),462)</f>
        <v>462</v>
      </c>
      <c r="F271">
        <v>499</v>
      </c>
      <c r="G271">
        <v>0.92585170340681366</v>
      </c>
      <c r="H271">
        <v>62137</v>
      </c>
      <c r="I271">
        <v>100000</v>
      </c>
      <c r="J271">
        <v>62137</v>
      </c>
      <c r="K271">
        <v>0.94076597629758174</v>
      </c>
      <c r="L271">
        <f ca="1">E271*0.621371</f>
        <v>287.07340199999999</v>
      </c>
      <c r="M271">
        <f>F271*0.621371</f>
        <v>310.06412899999998</v>
      </c>
      <c r="N271">
        <v>62137</v>
      </c>
      <c r="O271">
        <f t="shared" ca="1" si="30"/>
        <v>0.92585170340681366</v>
      </c>
    </row>
    <row r="272" spans="1:15" x14ac:dyDescent="0.2">
      <c r="A272" t="str">
        <f ca="1">IFERROR(__xludf.DUMMYFUNCTION("""COMPUTED_VALUE"""),"mi")</f>
        <v>mi</v>
      </c>
      <c r="B272" t="str">
        <f ca="1">IFERROR(__xludf.DUMMYFUNCTION("""COMPUTED_VALUE"""),"Model 3 LR")</f>
        <v>Model 3 LR</v>
      </c>
      <c r="C272">
        <f ca="1">IFERROR(__xludf.DUMMYFUNCTION("""COMPUTED_VALUE"""),310)</f>
        <v>310</v>
      </c>
      <c r="D272">
        <f ca="1">IFERROR(__xludf.DUMMYFUNCTION("""COMPUTED_VALUE"""),54400)</f>
        <v>54400</v>
      </c>
      <c r="E272">
        <f ca="1">IFERROR(__xludf.DUMMYFUNCTION("""COMPUTED_VALUE"""),301)</f>
        <v>301</v>
      </c>
      <c r="F272">
        <v>325</v>
      </c>
      <c r="G272">
        <v>0.92615384615384611</v>
      </c>
      <c r="H272">
        <v>54400</v>
      </c>
      <c r="I272">
        <v>87548</v>
      </c>
      <c r="J272">
        <v>54400</v>
      </c>
      <c r="K272">
        <v>0.94709429214855168</v>
      </c>
      <c r="L272">
        <f ca="1">IFERROR(__xludf.DUMMYFUNCTION("""COMPUTED_VALUE"""),301)</f>
        <v>301</v>
      </c>
      <c r="M272">
        <v>325</v>
      </c>
      <c r="N272">
        <v>54400</v>
      </c>
      <c r="O272">
        <f t="shared" ca="1" si="30"/>
        <v>0.92615384615384611</v>
      </c>
    </row>
    <row r="273" spans="1:15" x14ac:dyDescent="0.2">
      <c r="A273" t="str">
        <f ca="1">IFERROR(__xludf.DUMMYFUNCTION("""COMPUTED_VALUE"""),"km")</f>
        <v>km</v>
      </c>
      <c r="B273" t="str">
        <f ca="1">IFERROR(__xludf.DUMMYFUNCTION("""COMPUTED_VALUE"""),"Model S 90D")</f>
        <v>Model S 90D</v>
      </c>
      <c r="C273">
        <f ca="1">IFERROR(__xludf.DUMMYFUNCTION("""COMPUTED_VALUE"""),450)</f>
        <v>450</v>
      </c>
      <c r="D273">
        <f ca="1">IFERROR(__xludf.DUMMYFUNCTION("""COMPUTED_VALUE"""),114500)</f>
        <v>114500</v>
      </c>
      <c r="E273">
        <f ca="1">IFERROR(__xludf.DUMMYFUNCTION("""COMPUTED_VALUE"""),414)</f>
        <v>414</v>
      </c>
      <c r="F273">
        <v>447</v>
      </c>
      <c r="G273">
        <v>0.9261744966442953</v>
      </c>
      <c r="H273">
        <v>71147</v>
      </c>
      <c r="I273">
        <v>114500</v>
      </c>
      <c r="J273">
        <v>71147</v>
      </c>
      <c r="K273">
        <v>0.93378886213422341</v>
      </c>
      <c r="L273">
        <f t="shared" ref="L273:L292" ca="1" si="32">E273*0.621371</f>
        <v>257.24759399999999</v>
      </c>
      <c r="M273">
        <f t="shared" ref="M273:M292" si="33">F273*0.621371</f>
        <v>277.752837</v>
      </c>
      <c r="N273">
        <v>71147</v>
      </c>
      <c r="O273">
        <f t="shared" ca="1" si="30"/>
        <v>0.9261744966442953</v>
      </c>
    </row>
    <row r="274" spans="1:15" x14ac:dyDescent="0.2">
      <c r="A274" t="str">
        <f ca="1">IFERROR(__xludf.DUMMYFUNCTION("""COMPUTED_VALUE"""),"km")</f>
        <v>km</v>
      </c>
      <c r="B274" t="str">
        <f ca="1">IFERROR(__xludf.DUMMYFUNCTION("""COMPUTED_VALUE"""),"Model 3 SR+")</f>
        <v>Model 3 SR+</v>
      </c>
      <c r="C274">
        <f ca="1">IFERROR(__xludf.DUMMYFUNCTION("""COMPUTED_VALUE"""),381)</f>
        <v>381</v>
      </c>
      <c r="D274">
        <f ca="1">IFERROR(__xludf.DUMMYFUNCTION("""COMPUTED_VALUE"""),48204)</f>
        <v>48204</v>
      </c>
      <c r="E274">
        <f ca="1">IFERROR(__xludf.DUMMYFUNCTION("""COMPUTED_VALUE"""),353)</f>
        <v>353</v>
      </c>
      <c r="F274">
        <v>381</v>
      </c>
      <c r="G274">
        <v>0.92650918635170598</v>
      </c>
      <c r="H274">
        <v>29953</v>
      </c>
      <c r="I274">
        <v>48204</v>
      </c>
      <c r="J274">
        <v>29953</v>
      </c>
      <c r="K274">
        <v>0.96908329463307452</v>
      </c>
      <c r="L274">
        <f t="shared" ca="1" si="32"/>
        <v>219.343963</v>
      </c>
      <c r="M274">
        <f t="shared" si="33"/>
        <v>236.74235100000001</v>
      </c>
      <c r="N274">
        <v>29953</v>
      </c>
      <c r="O274">
        <f t="shared" ca="1" si="30"/>
        <v>0.92650918635170598</v>
      </c>
    </row>
    <row r="275" spans="1:15" x14ac:dyDescent="0.2">
      <c r="A275" t="str">
        <f ca="1">IFERROR(__xludf.DUMMYFUNCTION("""COMPUTED_VALUE"""),"km")</f>
        <v>km</v>
      </c>
      <c r="B275" t="str">
        <f ca="1">IFERROR(__xludf.DUMMYFUNCTION("""COMPUTED_VALUE"""),"Model S 85")</f>
        <v>Model S 85</v>
      </c>
      <c r="D275">
        <f ca="1">IFERROR(__xludf.DUMMYFUNCTION("""COMPUTED_VALUE"""),152000)</f>
        <v>152000</v>
      </c>
      <c r="E275">
        <f ca="1">IFERROR(__xludf.DUMMYFUNCTION("""COMPUTED_VALUE"""),366)</f>
        <v>366</v>
      </c>
      <c r="F275">
        <v>395</v>
      </c>
      <c r="G275">
        <v>0.92658227848101271</v>
      </c>
      <c r="H275">
        <v>94448</v>
      </c>
      <c r="I275">
        <v>152000</v>
      </c>
      <c r="J275">
        <v>94448</v>
      </c>
      <c r="K275">
        <v>0.91774913272659597</v>
      </c>
      <c r="L275">
        <f t="shared" ca="1" si="32"/>
        <v>227.421786</v>
      </c>
      <c r="M275">
        <f t="shared" si="33"/>
        <v>245.44154499999999</v>
      </c>
      <c r="N275">
        <v>94448</v>
      </c>
      <c r="O275">
        <f t="shared" ca="1" si="30"/>
        <v>0.92658227848101271</v>
      </c>
    </row>
    <row r="276" spans="1:15" x14ac:dyDescent="0.2">
      <c r="A276" t="str">
        <f ca="1">IFERROR(__xludf.DUMMYFUNCTION("""COMPUTED_VALUE"""),"km")</f>
        <v>km</v>
      </c>
      <c r="B276" t="str">
        <f ca="1">IFERROR(__xludf.DUMMYFUNCTION("""COMPUTED_VALUE"""),"Model S 85")</f>
        <v>Model S 85</v>
      </c>
      <c r="C276">
        <f ca="1">IFERROR(__xludf.DUMMYFUNCTION("""COMPUTED_VALUE"""),413)</f>
        <v>413</v>
      </c>
      <c r="D276">
        <f ca="1">IFERROR(__xludf.DUMMYFUNCTION("""COMPUTED_VALUE"""),280000)</f>
        <v>280000</v>
      </c>
      <c r="E276">
        <f ca="1">IFERROR(__xludf.DUMMYFUNCTION("""COMPUTED_VALUE"""),366)</f>
        <v>366</v>
      </c>
      <c r="F276">
        <v>395</v>
      </c>
      <c r="G276">
        <v>0.92658227848101271</v>
      </c>
      <c r="H276">
        <v>173984</v>
      </c>
      <c r="I276">
        <v>280000</v>
      </c>
      <c r="J276">
        <v>173984</v>
      </c>
      <c r="K276">
        <v>0.8863288618993761</v>
      </c>
      <c r="L276">
        <f t="shared" ca="1" si="32"/>
        <v>227.421786</v>
      </c>
      <c r="M276">
        <f t="shared" si="33"/>
        <v>245.44154499999999</v>
      </c>
      <c r="N276">
        <v>173984</v>
      </c>
      <c r="O276">
        <f t="shared" ca="1" si="30"/>
        <v>0.92658227848101271</v>
      </c>
    </row>
    <row r="277" spans="1:15" x14ac:dyDescent="0.2">
      <c r="A277" t="str">
        <f ca="1">IFERROR(__xludf.DUMMYFUNCTION("""COMPUTED_VALUE"""),"km")</f>
        <v>km</v>
      </c>
      <c r="B277" t="str">
        <f ca="1">IFERROR(__xludf.DUMMYFUNCTION("""COMPUTED_VALUE"""),"Model S 85")</f>
        <v>Model S 85</v>
      </c>
      <c r="C277">
        <f ca="1">IFERROR(__xludf.DUMMYFUNCTION("""COMPUTED_VALUE"""),413)</f>
        <v>413</v>
      </c>
      <c r="D277">
        <f ca="1">IFERROR(__xludf.DUMMYFUNCTION("""COMPUTED_VALUE"""),282000)</f>
        <v>282000</v>
      </c>
      <c r="E277">
        <f ca="1">IFERROR(__xludf.DUMMYFUNCTION("""COMPUTED_VALUE"""),366)</f>
        <v>366</v>
      </c>
      <c r="F277">
        <v>395</v>
      </c>
      <c r="G277">
        <v>0.92658227848101271</v>
      </c>
      <c r="H277">
        <v>175227</v>
      </c>
      <c r="I277">
        <v>282000</v>
      </c>
      <c r="J277">
        <v>175227</v>
      </c>
      <c r="K277">
        <v>0.88614291241144305</v>
      </c>
      <c r="L277">
        <f t="shared" ca="1" si="32"/>
        <v>227.421786</v>
      </c>
      <c r="M277">
        <f t="shared" si="33"/>
        <v>245.44154499999999</v>
      </c>
      <c r="N277">
        <v>175227</v>
      </c>
      <c r="O277">
        <f t="shared" ca="1" si="30"/>
        <v>0.92658227848101271</v>
      </c>
    </row>
    <row r="278" spans="1:15" x14ac:dyDescent="0.2">
      <c r="A278" t="str">
        <f ca="1">IFERROR(__xludf.DUMMYFUNCTION("""COMPUTED_VALUE"""),"km")</f>
        <v>km</v>
      </c>
      <c r="B278" t="str">
        <f ca="1">IFERROR(__xludf.DUMMYFUNCTION("""COMPUTED_VALUE"""),"Model S 85")</f>
        <v>Model S 85</v>
      </c>
      <c r="C278">
        <f ca="1">IFERROR(__xludf.DUMMYFUNCTION("""COMPUTED_VALUE"""),399)</f>
        <v>399</v>
      </c>
      <c r="D278">
        <f ca="1">IFERROR(__xludf.DUMMYFUNCTION("""COMPUTED_VALUE"""),168691)</f>
        <v>168691</v>
      </c>
      <c r="E278">
        <f ca="1">IFERROR(__xludf.DUMMYFUNCTION("""COMPUTED_VALUE"""),366)</f>
        <v>366</v>
      </c>
      <c r="F278">
        <v>395</v>
      </c>
      <c r="G278">
        <v>0.92658227848101271</v>
      </c>
      <c r="H278">
        <v>104820</v>
      </c>
      <c r="I278">
        <v>168691</v>
      </c>
      <c r="J278">
        <v>104820</v>
      </c>
      <c r="K278">
        <v>0.91156424480104903</v>
      </c>
      <c r="L278">
        <f t="shared" ca="1" si="32"/>
        <v>227.421786</v>
      </c>
      <c r="M278">
        <f t="shared" si="33"/>
        <v>245.44154499999999</v>
      </c>
      <c r="N278">
        <v>104820</v>
      </c>
      <c r="O278">
        <f t="shared" ca="1" si="30"/>
        <v>0.92658227848101271</v>
      </c>
    </row>
    <row r="279" spans="1:15" x14ac:dyDescent="0.2">
      <c r="A279" t="str">
        <f ca="1">IFERROR(__xludf.DUMMYFUNCTION("""COMPUTED_VALUE"""),"km")</f>
        <v>km</v>
      </c>
      <c r="B279" t="str">
        <f ca="1">IFERROR(__xludf.DUMMYFUNCTION("""COMPUTED_VALUE"""),"Model S P85")</f>
        <v>Model S P85</v>
      </c>
      <c r="C279">
        <f ca="1">IFERROR(__xludf.DUMMYFUNCTION("""COMPUTED_VALUE"""),404)</f>
        <v>404</v>
      </c>
      <c r="D279">
        <f ca="1">IFERROR(__xludf.DUMMYFUNCTION("""COMPUTED_VALUE"""),90375)</f>
        <v>90375</v>
      </c>
      <c r="E279">
        <f ca="1">IFERROR(__xludf.DUMMYFUNCTION("""COMPUTED_VALUE"""),366)</f>
        <v>366</v>
      </c>
      <c r="F279">
        <v>395</v>
      </c>
      <c r="G279">
        <v>0.92658227848101271</v>
      </c>
      <c r="H279">
        <v>56156</v>
      </c>
      <c r="I279">
        <v>90375</v>
      </c>
      <c r="J279">
        <v>56156</v>
      </c>
      <c r="K279">
        <v>0.94563051645402341</v>
      </c>
      <c r="L279">
        <f t="shared" ca="1" si="32"/>
        <v>227.421786</v>
      </c>
      <c r="M279">
        <f t="shared" si="33"/>
        <v>245.44154499999999</v>
      </c>
      <c r="N279">
        <v>56156</v>
      </c>
      <c r="O279">
        <f t="shared" ca="1" si="30"/>
        <v>0.92658227848101271</v>
      </c>
    </row>
    <row r="280" spans="1:15" x14ac:dyDescent="0.2">
      <c r="A280" t="str">
        <f ca="1">IFERROR(__xludf.DUMMYFUNCTION("""COMPUTED_VALUE"""),"km")</f>
        <v>km</v>
      </c>
      <c r="B280" t="str">
        <f ca="1">IFERROR(__xludf.DUMMYFUNCTION("""COMPUTED_VALUE"""),"Model S P85")</f>
        <v>Model S P85</v>
      </c>
      <c r="C280">
        <f ca="1">IFERROR(__xludf.DUMMYFUNCTION("""COMPUTED_VALUE"""),400)</f>
        <v>400</v>
      </c>
      <c r="D280">
        <f ca="1">IFERROR(__xludf.DUMMYFUNCTION("""COMPUTED_VALUE"""),240000)</f>
        <v>240000</v>
      </c>
      <c r="E280">
        <f ca="1">IFERROR(__xludf.DUMMYFUNCTION("""COMPUTED_VALUE"""),366)</f>
        <v>366</v>
      </c>
      <c r="F280">
        <v>395</v>
      </c>
      <c r="G280">
        <v>0.92658227848101271</v>
      </c>
      <c r="H280">
        <v>149129</v>
      </c>
      <c r="I280">
        <v>240000</v>
      </c>
      <c r="J280">
        <v>149129</v>
      </c>
      <c r="K280">
        <v>0.89208422349054339</v>
      </c>
      <c r="L280">
        <f t="shared" ca="1" si="32"/>
        <v>227.421786</v>
      </c>
      <c r="M280">
        <f t="shared" si="33"/>
        <v>245.44154499999999</v>
      </c>
      <c r="N280">
        <v>149129</v>
      </c>
      <c r="O280">
        <f t="shared" ca="1" si="30"/>
        <v>0.92658227848101271</v>
      </c>
    </row>
    <row r="281" spans="1:15" x14ac:dyDescent="0.2">
      <c r="A281" t="str">
        <f ca="1">IFERROR(__xludf.DUMMYFUNCTION("""COMPUTED_VALUE"""),"km")</f>
        <v>km</v>
      </c>
      <c r="B281" t="str">
        <f ca="1">IFERROR(__xludf.DUMMYFUNCTION("""COMPUTED_VALUE"""),"Model S P85")</f>
        <v>Model S P85</v>
      </c>
      <c r="C281">
        <f ca="1">IFERROR(__xludf.DUMMYFUNCTION("""COMPUTED_VALUE"""),400)</f>
        <v>400</v>
      </c>
      <c r="D281">
        <f ca="1">IFERROR(__xludf.DUMMYFUNCTION("""COMPUTED_VALUE"""),200000)</f>
        <v>200000</v>
      </c>
      <c r="E281">
        <f ca="1">IFERROR(__xludf.DUMMYFUNCTION("""COMPUTED_VALUE"""),366)</f>
        <v>366</v>
      </c>
      <c r="F281">
        <v>395</v>
      </c>
      <c r="G281">
        <v>0.92658227848101271</v>
      </c>
      <c r="H281">
        <v>124274</v>
      </c>
      <c r="I281">
        <v>200000</v>
      </c>
      <c r="J281">
        <v>124274</v>
      </c>
      <c r="K281">
        <v>0.90160028851030027</v>
      </c>
      <c r="L281">
        <f t="shared" ca="1" si="32"/>
        <v>227.421786</v>
      </c>
      <c r="M281">
        <f t="shared" si="33"/>
        <v>245.44154499999999</v>
      </c>
      <c r="N281">
        <v>124274</v>
      </c>
      <c r="O281">
        <f t="shared" ca="1" si="30"/>
        <v>0.92658227848101271</v>
      </c>
    </row>
    <row r="282" spans="1:15" x14ac:dyDescent="0.2">
      <c r="A282" t="str">
        <f ca="1">IFERROR(__xludf.DUMMYFUNCTION("""COMPUTED_VALUE"""),"km")</f>
        <v>km</v>
      </c>
      <c r="B282" t="str">
        <f ca="1">IFERROR(__xludf.DUMMYFUNCTION("""COMPUTED_VALUE"""),"Model S P85")</f>
        <v>Model S P85</v>
      </c>
      <c r="C282">
        <f ca="1">IFERROR(__xludf.DUMMYFUNCTION("""COMPUTED_VALUE"""),400)</f>
        <v>400</v>
      </c>
      <c r="D282">
        <f ca="1">IFERROR(__xludf.DUMMYFUNCTION("""COMPUTED_VALUE"""),183000)</f>
        <v>183000</v>
      </c>
      <c r="E282">
        <f ca="1">IFERROR(__xludf.DUMMYFUNCTION("""COMPUTED_VALUE"""),366)</f>
        <v>366</v>
      </c>
      <c r="F282">
        <v>395</v>
      </c>
      <c r="G282">
        <v>0.92658227848101271</v>
      </c>
      <c r="H282">
        <v>113711</v>
      </c>
      <c r="I282">
        <v>183000</v>
      </c>
      <c r="J282">
        <v>113711</v>
      </c>
      <c r="K282">
        <v>0.90674227078922875</v>
      </c>
      <c r="L282">
        <f t="shared" ca="1" si="32"/>
        <v>227.421786</v>
      </c>
      <c r="M282">
        <f t="shared" si="33"/>
        <v>245.44154499999999</v>
      </c>
      <c r="N282">
        <v>113711</v>
      </c>
      <c r="O282">
        <f t="shared" ca="1" si="30"/>
        <v>0.92658227848101271</v>
      </c>
    </row>
    <row r="283" spans="1:15" x14ac:dyDescent="0.2">
      <c r="A283" t="str">
        <f ca="1">IFERROR(__xludf.DUMMYFUNCTION("""COMPUTED_VALUE"""),"km")</f>
        <v>km</v>
      </c>
      <c r="B283" t="str">
        <f ca="1">IFERROR(__xludf.DUMMYFUNCTION("""COMPUTED_VALUE"""),"Model S P85")</f>
        <v>Model S P85</v>
      </c>
      <c r="C283">
        <f ca="1">IFERROR(__xludf.DUMMYFUNCTION("""COMPUTED_VALUE"""),400)</f>
        <v>400</v>
      </c>
      <c r="D283">
        <f ca="1">IFERROR(__xludf.DUMMYFUNCTION("""COMPUTED_VALUE"""),165000)</f>
        <v>165000</v>
      </c>
      <c r="E283">
        <f ca="1">IFERROR(__xludf.DUMMYFUNCTION("""COMPUTED_VALUE"""),366)</f>
        <v>366</v>
      </c>
      <c r="F283">
        <v>395</v>
      </c>
      <c r="G283">
        <v>0.92658227848101271</v>
      </c>
      <c r="H283">
        <v>102526</v>
      </c>
      <c r="I283">
        <v>165000</v>
      </c>
      <c r="J283">
        <v>102526</v>
      </c>
      <c r="K283">
        <v>0.91288035612065688</v>
      </c>
      <c r="L283">
        <f t="shared" ca="1" si="32"/>
        <v>227.421786</v>
      </c>
      <c r="M283">
        <f t="shared" si="33"/>
        <v>245.44154499999999</v>
      </c>
      <c r="N283">
        <v>102526</v>
      </c>
      <c r="O283">
        <f t="shared" ca="1" si="30"/>
        <v>0.92658227848101271</v>
      </c>
    </row>
    <row r="284" spans="1:15" x14ac:dyDescent="0.2">
      <c r="A284" t="str">
        <f ca="1">IFERROR(__xludf.DUMMYFUNCTION("""COMPUTED_VALUE"""),"km")</f>
        <v>km</v>
      </c>
      <c r="B284" t="str">
        <f ca="1">IFERROR(__xludf.DUMMYFUNCTION("""COMPUTED_VALUE"""),"Model S 85")</f>
        <v>Model S 85</v>
      </c>
      <c r="D284">
        <f ca="1">IFERROR(__xludf.DUMMYFUNCTION("""COMPUTED_VALUE"""),48277)</f>
        <v>48277</v>
      </c>
      <c r="E284">
        <f ca="1">IFERROR(__xludf.DUMMYFUNCTION("""COMPUTED_VALUE"""),366)</f>
        <v>366</v>
      </c>
      <c r="F284">
        <v>395</v>
      </c>
      <c r="G284">
        <v>0.92658227848101271</v>
      </c>
      <c r="H284">
        <v>29998</v>
      </c>
      <c r="I284">
        <v>48277</v>
      </c>
      <c r="J284">
        <v>29998</v>
      </c>
      <c r="K284">
        <v>0.96903974534240722</v>
      </c>
      <c r="L284">
        <f t="shared" ca="1" si="32"/>
        <v>227.421786</v>
      </c>
      <c r="M284">
        <f t="shared" si="33"/>
        <v>245.44154499999999</v>
      </c>
      <c r="N284">
        <v>29998</v>
      </c>
      <c r="O284">
        <f t="shared" ca="1" si="30"/>
        <v>0.92658227848101271</v>
      </c>
    </row>
    <row r="285" spans="1:15" x14ac:dyDescent="0.2">
      <c r="A285" t="str">
        <f ca="1">IFERROR(__xludf.DUMMYFUNCTION("""COMPUTED_VALUE"""),"km")</f>
        <v>km</v>
      </c>
      <c r="B285" t="str">
        <f ca="1">IFERROR(__xludf.DUMMYFUNCTION("""COMPUTED_VALUE"""),"Model S P85+")</f>
        <v>Model S P85+</v>
      </c>
      <c r="C285">
        <f ca="1">IFERROR(__xludf.DUMMYFUNCTION("""COMPUTED_VALUE"""),400)</f>
        <v>400</v>
      </c>
      <c r="D285">
        <f ca="1">IFERROR(__xludf.DUMMYFUNCTION("""COMPUTED_VALUE"""),80941)</f>
        <v>80941</v>
      </c>
      <c r="E285">
        <f ca="1">IFERROR(__xludf.DUMMYFUNCTION("""COMPUTED_VALUE"""),366)</f>
        <v>366</v>
      </c>
      <c r="F285">
        <v>395</v>
      </c>
      <c r="G285">
        <v>0.92658227848101271</v>
      </c>
      <c r="H285">
        <v>50294</v>
      </c>
      <c r="I285">
        <v>80941</v>
      </c>
      <c r="J285">
        <v>50294</v>
      </c>
      <c r="K285">
        <v>0.95057680314708903</v>
      </c>
      <c r="L285">
        <f t="shared" ca="1" si="32"/>
        <v>227.421786</v>
      </c>
      <c r="M285">
        <f t="shared" si="33"/>
        <v>245.44154499999999</v>
      </c>
      <c r="N285">
        <v>50294</v>
      </c>
      <c r="O285">
        <f t="shared" ca="1" si="30"/>
        <v>0.92658227848101271</v>
      </c>
    </row>
    <row r="286" spans="1:15" x14ac:dyDescent="0.2">
      <c r="A286" t="str">
        <f ca="1">IFERROR(__xludf.DUMMYFUNCTION("""COMPUTED_VALUE"""),"km")</f>
        <v>km</v>
      </c>
      <c r="B286" t="str">
        <f ca="1">IFERROR(__xludf.DUMMYFUNCTION("""COMPUTED_VALUE"""),"Model S P85")</f>
        <v>Model S P85</v>
      </c>
      <c r="C286">
        <f ca="1">IFERROR(__xludf.DUMMYFUNCTION("""COMPUTED_VALUE"""),400)</f>
        <v>400</v>
      </c>
      <c r="D286">
        <f ca="1">IFERROR(__xludf.DUMMYFUNCTION("""COMPUTED_VALUE"""),144000)</f>
        <v>144000</v>
      </c>
      <c r="E286">
        <f ca="1">IFERROR(__xludf.DUMMYFUNCTION("""COMPUTED_VALUE"""),366)</f>
        <v>366</v>
      </c>
      <c r="F286">
        <v>395</v>
      </c>
      <c r="G286">
        <v>0.92658227848101271</v>
      </c>
      <c r="H286">
        <v>89477</v>
      </c>
      <c r="I286">
        <v>144000</v>
      </c>
      <c r="J286">
        <v>89477</v>
      </c>
      <c r="K286">
        <v>0.92092427728628856</v>
      </c>
      <c r="L286">
        <f t="shared" ca="1" si="32"/>
        <v>227.421786</v>
      </c>
      <c r="M286">
        <f t="shared" si="33"/>
        <v>245.44154499999999</v>
      </c>
      <c r="N286">
        <v>89477</v>
      </c>
      <c r="O286">
        <f t="shared" ca="1" si="30"/>
        <v>0.92658227848101271</v>
      </c>
    </row>
    <row r="287" spans="1:15" x14ac:dyDescent="0.2">
      <c r="A287" t="str">
        <f ca="1">IFERROR(__xludf.DUMMYFUNCTION("""COMPUTED_VALUE"""),"km")</f>
        <v>km</v>
      </c>
      <c r="B287" t="str">
        <f ca="1">IFERROR(__xludf.DUMMYFUNCTION("""COMPUTED_VALUE"""),"Model S 85")</f>
        <v>Model S 85</v>
      </c>
      <c r="C287">
        <f ca="1">IFERROR(__xludf.DUMMYFUNCTION("""COMPUTED_VALUE"""),390)</f>
        <v>390</v>
      </c>
      <c r="D287">
        <f ca="1">IFERROR(__xludf.DUMMYFUNCTION("""COMPUTED_VALUE"""),52850)</f>
        <v>52850</v>
      </c>
      <c r="E287">
        <f ca="1">IFERROR(__xludf.DUMMYFUNCTION("""COMPUTED_VALUE"""),366)</f>
        <v>366</v>
      </c>
      <c r="F287">
        <v>395</v>
      </c>
      <c r="G287">
        <v>0.92658227848101271</v>
      </c>
      <c r="H287">
        <v>32839</v>
      </c>
      <c r="I287">
        <v>52850</v>
      </c>
      <c r="J287">
        <v>32839</v>
      </c>
      <c r="K287">
        <v>0.96633176630425943</v>
      </c>
      <c r="L287">
        <f t="shared" ca="1" si="32"/>
        <v>227.421786</v>
      </c>
      <c r="M287">
        <f t="shared" si="33"/>
        <v>245.44154499999999</v>
      </c>
      <c r="N287">
        <v>32839</v>
      </c>
      <c r="O287">
        <f t="shared" ca="1" si="30"/>
        <v>0.92658227848101271</v>
      </c>
    </row>
    <row r="288" spans="1:15" x14ac:dyDescent="0.2">
      <c r="A288" t="str">
        <f ca="1">IFERROR(__xludf.DUMMYFUNCTION("""COMPUTED_VALUE"""),"km")</f>
        <v>km</v>
      </c>
      <c r="B288" t="str">
        <f ca="1">IFERROR(__xludf.DUMMYFUNCTION("""COMPUTED_VALUE"""),"Model S P85")</f>
        <v>Model S P85</v>
      </c>
      <c r="D288">
        <f ca="1">IFERROR(__xludf.DUMMYFUNCTION("""COMPUTED_VALUE"""),108400)</f>
        <v>108400</v>
      </c>
      <c r="E288">
        <f ca="1">IFERROR(__xludf.DUMMYFUNCTION("""COMPUTED_VALUE"""),366)</f>
        <v>366</v>
      </c>
      <c r="F288">
        <v>395</v>
      </c>
      <c r="G288">
        <v>0.92658227848101271</v>
      </c>
      <c r="H288">
        <v>67357</v>
      </c>
      <c r="I288">
        <v>108400</v>
      </c>
      <c r="J288">
        <v>67357</v>
      </c>
      <c r="K288">
        <v>0.93667225466826509</v>
      </c>
      <c r="L288">
        <f t="shared" ca="1" si="32"/>
        <v>227.421786</v>
      </c>
      <c r="M288">
        <f t="shared" si="33"/>
        <v>245.44154499999999</v>
      </c>
      <c r="N288">
        <v>67357</v>
      </c>
      <c r="O288">
        <f t="shared" ca="1" si="30"/>
        <v>0.92658227848101271</v>
      </c>
    </row>
    <row r="289" spans="1:15" x14ac:dyDescent="0.2">
      <c r="A289" t="str">
        <f ca="1">IFERROR(__xludf.DUMMYFUNCTION("""COMPUTED_VALUE"""),"km")</f>
        <v>km</v>
      </c>
      <c r="B289" t="str">
        <f ca="1">IFERROR(__xludf.DUMMYFUNCTION("""COMPUTED_VALUE"""),"Model S 85")</f>
        <v>Model S 85</v>
      </c>
      <c r="C289">
        <f ca="1">IFERROR(__xludf.DUMMYFUNCTION("""COMPUTED_VALUE"""),399)</f>
        <v>399</v>
      </c>
      <c r="D289">
        <f ca="1">IFERROR(__xludf.DUMMYFUNCTION("""COMPUTED_VALUE"""),81552)</f>
        <v>81552</v>
      </c>
      <c r="E289">
        <f ca="1">IFERROR(__xludf.DUMMYFUNCTION("""COMPUTED_VALUE"""),366)</f>
        <v>366</v>
      </c>
      <c r="F289">
        <v>395</v>
      </c>
      <c r="G289">
        <v>0.92658227848101271</v>
      </c>
      <c r="H289">
        <v>50674</v>
      </c>
      <c r="I289">
        <v>81552</v>
      </c>
      <c r="J289">
        <v>50674</v>
      </c>
      <c r="K289">
        <v>0.95025114526894805</v>
      </c>
      <c r="L289">
        <f t="shared" ca="1" si="32"/>
        <v>227.421786</v>
      </c>
      <c r="M289">
        <f t="shared" si="33"/>
        <v>245.44154499999999</v>
      </c>
      <c r="N289">
        <v>50674</v>
      </c>
      <c r="O289">
        <f t="shared" ca="1" si="30"/>
        <v>0.92658227848101271</v>
      </c>
    </row>
    <row r="290" spans="1:15" x14ac:dyDescent="0.2">
      <c r="A290" t="str">
        <f ca="1">IFERROR(__xludf.DUMMYFUNCTION("""COMPUTED_VALUE"""),"km")</f>
        <v>km</v>
      </c>
      <c r="B290" t="str">
        <f ca="1">IFERROR(__xludf.DUMMYFUNCTION("""COMPUTED_VALUE"""),"Model S 85")</f>
        <v>Model S 85</v>
      </c>
      <c r="C290">
        <f ca="1">IFERROR(__xludf.DUMMYFUNCTION("""COMPUTED_VALUE"""),398)</f>
        <v>398</v>
      </c>
      <c r="D290">
        <f ca="1">IFERROR(__xludf.DUMMYFUNCTION("""COMPUTED_VALUE"""),53000)</f>
        <v>53000</v>
      </c>
      <c r="E290">
        <f ca="1">IFERROR(__xludf.DUMMYFUNCTION("""COMPUTED_VALUE"""),366)</f>
        <v>366</v>
      </c>
      <c r="F290">
        <v>395</v>
      </c>
      <c r="G290">
        <v>0.92658227848101271</v>
      </c>
      <c r="H290">
        <v>32933</v>
      </c>
      <c r="I290">
        <v>53000</v>
      </c>
      <c r="J290">
        <v>32933</v>
      </c>
      <c r="K290">
        <v>0.96624361324484298</v>
      </c>
      <c r="L290">
        <f t="shared" ca="1" si="32"/>
        <v>227.421786</v>
      </c>
      <c r="M290">
        <f t="shared" si="33"/>
        <v>245.44154499999999</v>
      </c>
      <c r="N290">
        <v>32933</v>
      </c>
      <c r="O290">
        <f t="shared" ca="1" si="30"/>
        <v>0.92658227848101271</v>
      </c>
    </row>
    <row r="291" spans="1:15" x14ac:dyDescent="0.2">
      <c r="A291" t="str">
        <f ca="1">IFERROR(__xludf.DUMMYFUNCTION("""COMPUTED_VALUE"""),"km")</f>
        <v>km</v>
      </c>
      <c r="B291" t="str">
        <f ca="1">IFERROR(__xludf.DUMMYFUNCTION("""COMPUTED_VALUE"""),"Model S P85")</f>
        <v>Model S P85</v>
      </c>
      <c r="C291">
        <f ca="1">IFERROR(__xludf.DUMMYFUNCTION("""COMPUTED_VALUE"""),400)</f>
        <v>400</v>
      </c>
      <c r="D291">
        <f ca="1">IFERROR(__xludf.DUMMYFUNCTION("""COMPUTED_VALUE"""),131000)</f>
        <v>131000</v>
      </c>
      <c r="E291">
        <f ca="1">IFERROR(__xludf.DUMMYFUNCTION("""COMPUTED_VALUE"""),366)</f>
        <v>366</v>
      </c>
      <c r="F291">
        <v>395</v>
      </c>
      <c r="G291">
        <v>0.92658227848101271</v>
      </c>
      <c r="H291">
        <v>81400</v>
      </c>
      <c r="I291">
        <v>131000</v>
      </c>
      <c r="J291">
        <v>81400</v>
      </c>
      <c r="K291">
        <v>0.92637100229089353</v>
      </c>
      <c r="L291">
        <f t="shared" ca="1" si="32"/>
        <v>227.421786</v>
      </c>
      <c r="M291">
        <f t="shared" si="33"/>
        <v>245.44154499999999</v>
      </c>
      <c r="N291">
        <v>81400</v>
      </c>
      <c r="O291">
        <f t="shared" ca="1" si="30"/>
        <v>0.92658227848101271</v>
      </c>
    </row>
    <row r="292" spans="1:15" x14ac:dyDescent="0.2">
      <c r="A292" t="str">
        <f ca="1">IFERROR(__xludf.DUMMYFUNCTION("""COMPUTED_VALUE"""),"km")</f>
        <v>km</v>
      </c>
      <c r="B292" t="str">
        <f ca="1">IFERROR(__xludf.DUMMYFUNCTION("""COMPUTED_VALUE"""),"Model S 85")</f>
        <v>Model S 85</v>
      </c>
      <c r="C292">
        <f ca="1">IFERROR(__xludf.DUMMYFUNCTION("""COMPUTED_VALUE"""),383)</f>
        <v>383</v>
      </c>
      <c r="D292">
        <f ca="1">IFERROR(__xludf.DUMMYFUNCTION("""COMPUTED_VALUE"""),69161)</f>
        <v>69161</v>
      </c>
      <c r="E292">
        <f ca="1">IFERROR(__xludf.DUMMYFUNCTION("""COMPUTED_VALUE"""),366)</f>
        <v>366</v>
      </c>
      <c r="F292">
        <v>395</v>
      </c>
      <c r="G292">
        <v>0.92658227848101271</v>
      </c>
      <c r="H292">
        <v>42975</v>
      </c>
      <c r="I292">
        <v>69161</v>
      </c>
      <c r="J292">
        <v>42975</v>
      </c>
      <c r="K292">
        <v>0.95699801689711583</v>
      </c>
      <c r="L292">
        <f t="shared" ca="1" si="32"/>
        <v>227.421786</v>
      </c>
      <c r="M292">
        <f t="shared" si="33"/>
        <v>245.44154499999999</v>
      </c>
      <c r="N292">
        <v>42975</v>
      </c>
      <c r="O292">
        <f t="shared" ca="1" si="30"/>
        <v>0.92658227848101271</v>
      </c>
    </row>
    <row r="293" spans="1:15" x14ac:dyDescent="0.2">
      <c r="A293" t="str">
        <f ca="1">IFERROR(__xludf.DUMMYFUNCTION("""COMPUTED_VALUE"""),"mi")</f>
        <v>mi</v>
      </c>
      <c r="B293" t="str">
        <f ca="1">IFERROR(__xludf.DUMMYFUNCTION("""COMPUTED_VALUE"""),"Model S 85D")</f>
        <v>Model S 85D</v>
      </c>
      <c r="C293">
        <f ca="1">IFERROR(__xludf.DUMMYFUNCTION("""COMPUTED_VALUE"""),412)</f>
        <v>412</v>
      </c>
      <c r="D293">
        <f ca="1">IFERROR(__xludf.DUMMYFUNCTION("""COMPUTED_VALUE"""),197878)</f>
        <v>197878</v>
      </c>
      <c r="E293">
        <f ca="1">IFERROR(__xludf.DUMMYFUNCTION("""COMPUTED_VALUE"""),394)</f>
        <v>394</v>
      </c>
      <c r="F293">
        <v>425</v>
      </c>
      <c r="G293">
        <v>0.92705882352941171</v>
      </c>
      <c r="H293">
        <v>197878</v>
      </c>
      <c r="I293">
        <v>318454</v>
      </c>
      <c r="J293">
        <v>197878</v>
      </c>
      <c r="K293">
        <v>0.88450396017509769</v>
      </c>
      <c r="L293">
        <f ca="1">IFERROR(__xludf.DUMMYFUNCTION("""COMPUTED_VALUE"""),394)</f>
        <v>394</v>
      </c>
      <c r="M293">
        <v>425</v>
      </c>
      <c r="N293">
        <v>197878</v>
      </c>
      <c r="O293">
        <f t="shared" ca="1" si="30"/>
        <v>0.92705882352941171</v>
      </c>
    </row>
    <row r="294" spans="1:15" x14ac:dyDescent="0.2">
      <c r="A294" t="str">
        <f ca="1">IFERROR(__xludf.DUMMYFUNCTION("""COMPUTED_VALUE"""),"km")</f>
        <v>km</v>
      </c>
      <c r="B294" t="str">
        <f ca="1">IFERROR(__xludf.DUMMYFUNCTION("""COMPUTED_VALUE"""),"Model X 90D")</f>
        <v>Model X 90D</v>
      </c>
      <c r="D294">
        <f ca="1">IFERROR(__xludf.DUMMYFUNCTION("""COMPUTED_VALUE"""),140224)</f>
        <v>140224</v>
      </c>
      <c r="E294">
        <f ca="1">IFERROR(__xludf.DUMMYFUNCTION("""COMPUTED_VALUE"""),371)</f>
        <v>371</v>
      </c>
      <c r="F294">
        <v>400</v>
      </c>
      <c r="G294">
        <v>0.92749999999999999</v>
      </c>
      <c r="H294">
        <v>87131</v>
      </c>
      <c r="I294">
        <v>140224</v>
      </c>
      <c r="J294">
        <v>87131</v>
      </c>
      <c r="K294">
        <v>0.92246987390587565</v>
      </c>
      <c r="L294">
        <f t="shared" ref="L294:L306" ca="1" si="34">E294*0.621371</f>
        <v>230.52864099999999</v>
      </c>
      <c r="M294">
        <f t="shared" ref="M294:M306" si="35">F294*0.621371</f>
        <v>248.54840000000002</v>
      </c>
      <c r="N294">
        <v>87131</v>
      </c>
      <c r="O294">
        <f t="shared" ca="1" si="30"/>
        <v>0.92749999999999988</v>
      </c>
    </row>
    <row r="295" spans="1:15" x14ac:dyDescent="0.2">
      <c r="A295" t="str">
        <f ca="1">IFERROR(__xludf.DUMMYFUNCTION("""COMPUTED_VALUE"""),"km")</f>
        <v>km</v>
      </c>
      <c r="B295" t="str">
        <f ca="1">IFERROR(__xludf.DUMMYFUNCTION("""COMPUTED_VALUE"""),"Model X 90D")</f>
        <v>Model X 90D</v>
      </c>
      <c r="D295">
        <f ca="1">IFERROR(__xludf.DUMMYFUNCTION("""COMPUTED_VALUE"""),67374)</f>
        <v>67374</v>
      </c>
      <c r="E295">
        <f ca="1">IFERROR(__xludf.DUMMYFUNCTION("""COMPUTED_VALUE"""),371)</f>
        <v>371</v>
      </c>
      <c r="F295">
        <v>400</v>
      </c>
      <c r="G295">
        <v>0.92749999999999999</v>
      </c>
      <c r="H295">
        <v>41864</v>
      </c>
      <c r="I295">
        <v>67374</v>
      </c>
      <c r="J295">
        <v>41864</v>
      </c>
      <c r="K295">
        <v>0.9579956547335241</v>
      </c>
      <c r="L295">
        <f t="shared" ca="1" si="34"/>
        <v>230.52864099999999</v>
      </c>
      <c r="M295">
        <f t="shared" si="35"/>
        <v>248.54840000000002</v>
      </c>
      <c r="N295">
        <v>41864</v>
      </c>
      <c r="O295">
        <f t="shared" ca="1" si="30"/>
        <v>0.92749999999999988</v>
      </c>
    </row>
    <row r="296" spans="1:15" x14ac:dyDescent="0.2">
      <c r="A296" t="str">
        <f ca="1">IFERROR(__xludf.DUMMYFUNCTION("""COMPUTED_VALUE"""),"km")</f>
        <v>km</v>
      </c>
      <c r="B296" t="str">
        <f ca="1">IFERROR(__xludf.DUMMYFUNCTION("""COMPUTED_VALUE"""),"Model S 70D")</f>
        <v>Model S 70D</v>
      </c>
      <c r="C296">
        <f ca="1">IFERROR(__xludf.DUMMYFUNCTION("""COMPUTED_VALUE"""),365)</f>
        <v>365</v>
      </c>
      <c r="D296">
        <f ca="1">IFERROR(__xludf.DUMMYFUNCTION("""COMPUTED_VALUE"""),239.5)</f>
        <v>239.5</v>
      </c>
      <c r="E296">
        <f ca="1">IFERROR(__xludf.DUMMYFUNCTION("""COMPUTED_VALUE"""),334)</f>
        <v>334</v>
      </c>
      <c r="F296">
        <v>360</v>
      </c>
      <c r="G296">
        <v>0.92777777777777781</v>
      </c>
      <c r="H296">
        <v>149</v>
      </c>
      <c r="I296">
        <v>239.5</v>
      </c>
      <c r="J296">
        <v>149</v>
      </c>
      <c r="K296">
        <v>0.99983592172341562</v>
      </c>
      <c r="L296">
        <f t="shared" ca="1" si="34"/>
        <v>207.537914</v>
      </c>
      <c r="M296">
        <f t="shared" si="35"/>
        <v>223.69355999999999</v>
      </c>
      <c r="N296">
        <v>149</v>
      </c>
      <c r="O296">
        <f t="shared" ca="1" si="30"/>
        <v>0.92777777777777781</v>
      </c>
    </row>
    <row r="297" spans="1:15" x14ac:dyDescent="0.2">
      <c r="A297" t="str">
        <f ca="1">IFERROR(__xludf.DUMMYFUNCTION("""COMPUTED_VALUE"""),"km")</f>
        <v>km</v>
      </c>
      <c r="B297" t="str">
        <f ca="1">IFERROR(__xludf.DUMMYFUNCTION("""COMPUTED_VALUE"""),"Model 3 P")</f>
        <v>Model 3 P</v>
      </c>
      <c r="C297">
        <f ca="1">IFERROR(__xludf.DUMMYFUNCTION("""COMPUTED_VALUE"""),502)</f>
        <v>502</v>
      </c>
      <c r="D297">
        <f ca="1">IFERROR(__xludf.DUMMYFUNCTION("""COMPUTED_VALUE"""),86677)</f>
        <v>86677</v>
      </c>
      <c r="E297">
        <f ca="1">IFERROR(__xludf.DUMMYFUNCTION("""COMPUTED_VALUE"""),463)</f>
        <v>463</v>
      </c>
      <c r="F297">
        <v>499</v>
      </c>
      <c r="G297">
        <v>0.92785571142284573</v>
      </c>
      <c r="H297">
        <v>53859</v>
      </c>
      <c r="I297">
        <v>86677</v>
      </c>
      <c r="J297">
        <v>53859</v>
      </c>
      <c r="K297">
        <v>0.94754846764500078</v>
      </c>
      <c r="L297">
        <f t="shared" ca="1" si="34"/>
        <v>287.694773</v>
      </c>
      <c r="M297">
        <f t="shared" si="35"/>
        <v>310.06412899999998</v>
      </c>
      <c r="N297">
        <v>53859</v>
      </c>
      <c r="O297">
        <f t="shared" ca="1" si="30"/>
        <v>0.92785571142284573</v>
      </c>
    </row>
    <row r="298" spans="1:15" x14ac:dyDescent="0.2">
      <c r="A298" t="str">
        <f ca="1">IFERROR(__xludf.DUMMYFUNCTION("""COMPUTED_VALUE"""),"km")</f>
        <v>km</v>
      </c>
      <c r="B298" t="str">
        <f ca="1">IFERROR(__xludf.DUMMYFUNCTION("""COMPUTED_VALUE"""),"Model 3 P")</f>
        <v>Model 3 P</v>
      </c>
      <c r="C298">
        <f ca="1">IFERROR(__xludf.DUMMYFUNCTION("""COMPUTED_VALUE"""),502)</f>
        <v>502</v>
      </c>
      <c r="D298">
        <f ca="1">IFERROR(__xludf.DUMMYFUNCTION("""COMPUTED_VALUE"""),95227)</f>
        <v>95227</v>
      </c>
      <c r="E298">
        <f ca="1">IFERROR(__xludf.DUMMYFUNCTION("""COMPUTED_VALUE"""),463)</f>
        <v>463</v>
      </c>
      <c r="F298">
        <v>499</v>
      </c>
      <c r="G298">
        <v>0.92785571142284573</v>
      </c>
      <c r="H298">
        <v>59171</v>
      </c>
      <c r="I298">
        <v>95227</v>
      </c>
      <c r="J298">
        <v>59171</v>
      </c>
      <c r="K298">
        <v>0.94315519611008214</v>
      </c>
      <c r="L298">
        <f t="shared" ca="1" si="34"/>
        <v>287.694773</v>
      </c>
      <c r="M298">
        <f t="shared" si="35"/>
        <v>310.06412899999998</v>
      </c>
      <c r="N298">
        <v>59171</v>
      </c>
      <c r="O298">
        <f t="shared" ca="1" si="30"/>
        <v>0.92785571142284573</v>
      </c>
    </row>
    <row r="299" spans="1:15" x14ac:dyDescent="0.2">
      <c r="A299" t="str">
        <f ca="1">IFERROR(__xludf.DUMMYFUNCTION("""COMPUTED_VALUE"""),"km")</f>
        <v>km</v>
      </c>
      <c r="B299" t="str">
        <f ca="1">IFERROR(__xludf.DUMMYFUNCTION("""COMPUTED_VALUE"""),"Model 3 P")</f>
        <v>Model 3 P</v>
      </c>
      <c r="D299">
        <f ca="1">IFERROR(__xludf.DUMMYFUNCTION("""COMPUTED_VALUE"""),24617)</f>
        <v>24617</v>
      </c>
      <c r="E299">
        <f ca="1">IFERROR(__xludf.DUMMYFUNCTION("""COMPUTED_VALUE"""),463)</f>
        <v>463</v>
      </c>
      <c r="F299">
        <v>499</v>
      </c>
      <c r="G299">
        <v>0.92785571142284573</v>
      </c>
      <c r="H299">
        <v>15296</v>
      </c>
      <c r="I299">
        <v>24617</v>
      </c>
      <c r="J299">
        <v>15296</v>
      </c>
      <c r="K299">
        <v>0.98367725412911944</v>
      </c>
      <c r="L299">
        <f t="shared" ca="1" si="34"/>
        <v>287.694773</v>
      </c>
      <c r="M299">
        <f t="shared" si="35"/>
        <v>310.06412899999998</v>
      </c>
      <c r="N299">
        <v>15296</v>
      </c>
      <c r="O299">
        <f t="shared" ca="1" si="30"/>
        <v>0.92785571142284573</v>
      </c>
    </row>
    <row r="300" spans="1:15" x14ac:dyDescent="0.2">
      <c r="A300" t="str">
        <f ca="1">IFERROR(__xludf.DUMMYFUNCTION("""COMPUTED_VALUE"""),"km")</f>
        <v>km</v>
      </c>
      <c r="B300" t="str">
        <f ca="1">IFERROR(__xludf.DUMMYFUNCTION("""COMPUTED_VALUE"""),"Model 3 LR AWD")</f>
        <v>Model 3 LR AWD</v>
      </c>
      <c r="C300">
        <f ca="1">IFERROR(__xludf.DUMMYFUNCTION("""COMPUTED_VALUE"""),485)</f>
        <v>485</v>
      </c>
      <c r="D300">
        <f ca="1">IFERROR(__xludf.DUMMYFUNCTION("""COMPUTED_VALUE"""),25315)</f>
        <v>25315</v>
      </c>
      <c r="E300">
        <f ca="1">IFERROR(__xludf.DUMMYFUNCTION("""COMPUTED_VALUE"""),463)</f>
        <v>463</v>
      </c>
      <c r="F300">
        <v>499</v>
      </c>
      <c r="G300">
        <v>0.92785571142284573</v>
      </c>
      <c r="H300">
        <v>15730</v>
      </c>
      <c r="I300">
        <v>25315</v>
      </c>
      <c r="J300">
        <v>15730</v>
      </c>
      <c r="K300">
        <v>0.98323054494757534</v>
      </c>
      <c r="L300">
        <f t="shared" ca="1" si="34"/>
        <v>287.694773</v>
      </c>
      <c r="M300">
        <f t="shared" si="35"/>
        <v>310.06412899999998</v>
      </c>
      <c r="N300">
        <v>15730</v>
      </c>
      <c r="O300">
        <f t="shared" ca="1" si="30"/>
        <v>0.92785571142284573</v>
      </c>
    </row>
    <row r="301" spans="1:15" x14ac:dyDescent="0.2">
      <c r="A301" t="str">
        <f ca="1">IFERROR(__xludf.DUMMYFUNCTION("""COMPUTED_VALUE"""),"km")</f>
        <v>km</v>
      </c>
      <c r="B301" t="str">
        <f ca="1">IFERROR(__xludf.DUMMYFUNCTION("""COMPUTED_VALUE"""),"Model S 75")</f>
        <v>Model S 75</v>
      </c>
      <c r="C301">
        <f ca="1">IFERROR(__xludf.DUMMYFUNCTION("""COMPUTED_VALUE"""),384)</f>
        <v>384</v>
      </c>
      <c r="D301">
        <f ca="1">IFERROR(__xludf.DUMMYFUNCTION("""COMPUTED_VALUE"""),93053)</f>
        <v>93053</v>
      </c>
      <c r="E301">
        <f ca="1">IFERROR(__xludf.DUMMYFUNCTION("""COMPUTED_VALUE"""),348)</f>
        <v>348</v>
      </c>
      <c r="F301">
        <v>375</v>
      </c>
      <c r="G301">
        <v>0.92800000000000005</v>
      </c>
      <c r="H301">
        <v>57820</v>
      </c>
      <c r="I301">
        <v>93053</v>
      </c>
      <c r="J301">
        <v>57820</v>
      </c>
      <c r="K301">
        <v>0.94425850606650141</v>
      </c>
      <c r="L301">
        <f t="shared" ca="1" si="34"/>
        <v>216.23710800000001</v>
      </c>
      <c r="M301">
        <f t="shared" si="35"/>
        <v>233.01412500000001</v>
      </c>
      <c r="N301">
        <v>57820</v>
      </c>
      <c r="O301">
        <f t="shared" ca="1" si="30"/>
        <v>0.92800000000000005</v>
      </c>
    </row>
    <row r="302" spans="1:15" x14ac:dyDescent="0.2">
      <c r="A302" t="str">
        <f ca="1">IFERROR(__xludf.DUMMYFUNCTION("""COMPUTED_VALUE"""),"km")</f>
        <v>km</v>
      </c>
      <c r="B302" t="str">
        <f ca="1">IFERROR(__xludf.DUMMYFUNCTION("""COMPUTED_VALUE"""),"Model S P85D")</f>
        <v>Model S P85D</v>
      </c>
      <c r="C302">
        <f ca="1">IFERROR(__xludf.DUMMYFUNCTION("""COMPUTED_VALUE"""),404)</f>
        <v>404</v>
      </c>
      <c r="D302">
        <f ca="1">IFERROR(__xludf.DUMMYFUNCTION("""COMPUTED_VALUE"""),123287)</f>
        <v>123287</v>
      </c>
      <c r="E302">
        <f ca="1">IFERROR(__xludf.DUMMYFUNCTION("""COMPUTED_VALUE"""),374)</f>
        <v>374</v>
      </c>
      <c r="F302">
        <v>403</v>
      </c>
      <c r="G302">
        <v>0.92803970223325061</v>
      </c>
      <c r="H302">
        <v>76607</v>
      </c>
      <c r="I302">
        <v>123287</v>
      </c>
      <c r="J302">
        <v>76607</v>
      </c>
      <c r="K302">
        <v>0.92976878973750754</v>
      </c>
      <c r="L302">
        <f t="shared" ca="1" si="34"/>
        <v>232.392754</v>
      </c>
      <c r="M302">
        <f t="shared" si="35"/>
        <v>250.41251299999999</v>
      </c>
      <c r="N302">
        <v>76607</v>
      </c>
      <c r="O302">
        <f t="shared" ca="1" si="30"/>
        <v>0.92803970223325061</v>
      </c>
    </row>
    <row r="303" spans="1:15" x14ac:dyDescent="0.2">
      <c r="A303" t="str">
        <f ca="1">IFERROR(__xludf.DUMMYFUNCTION("""COMPUTED_VALUE"""),"km")</f>
        <v>km</v>
      </c>
      <c r="B303" t="str">
        <f ca="1">IFERROR(__xludf.DUMMYFUNCTION("""COMPUTED_VALUE"""),"Model S P85D")</f>
        <v>Model S P85D</v>
      </c>
      <c r="C303">
        <f ca="1">IFERROR(__xludf.DUMMYFUNCTION("""COMPUTED_VALUE"""),404)</f>
        <v>404</v>
      </c>
      <c r="D303">
        <f ca="1">IFERROR(__xludf.DUMMYFUNCTION("""COMPUTED_VALUE"""),126882)</f>
        <v>126882</v>
      </c>
      <c r="E303">
        <f ca="1">IFERROR(__xludf.DUMMYFUNCTION("""COMPUTED_VALUE"""),374)</f>
        <v>374</v>
      </c>
      <c r="F303">
        <v>403</v>
      </c>
      <c r="G303">
        <v>0.92803970223325061</v>
      </c>
      <c r="H303">
        <v>78841</v>
      </c>
      <c r="I303">
        <v>126882</v>
      </c>
      <c r="J303">
        <v>78841</v>
      </c>
      <c r="K303">
        <v>0.92816979215314799</v>
      </c>
      <c r="L303">
        <f t="shared" ca="1" si="34"/>
        <v>232.392754</v>
      </c>
      <c r="M303">
        <f t="shared" si="35"/>
        <v>250.41251299999999</v>
      </c>
      <c r="N303">
        <v>78841</v>
      </c>
      <c r="O303">
        <f t="shared" ca="1" si="30"/>
        <v>0.92803970223325061</v>
      </c>
    </row>
    <row r="304" spans="1:15" x14ac:dyDescent="0.2">
      <c r="A304" t="str">
        <f ca="1">IFERROR(__xludf.DUMMYFUNCTION("""COMPUTED_VALUE"""),"km")</f>
        <v>km</v>
      </c>
      <c r="B304" t="str">
        <f ca="1">IFERROR(__xludf.DUMMYFUNCTION("""COMPUTED_VALUE"""),"Model S P85D")</f>
        <v>Model S P85D</v>
      </c>
      <c r="C304">
        <f ca="1">IFERROR(__xludf.DUMMYFUNCTION("""COMPUTED_VALUE"""),406)</f>
        <v>406</v>
      </c>
      <c r="D304">
        <f ca="1">IFERROR(__xludf.DUMMYFUNCTION("""COMPUTED_VALUE"""),27426)</f>
        <v>27426</v>
      </c>
      <c r="E304">
        <f ca="1">IFERROR(__xludf.DUMMYFUNCTION("""COMPUTED_VALUE"""),374)</f>
        <v>374</v>
      </c>
      <c r="F304">
        <v>403</v>
      </c>
      <c r="G304">
        <v>0.92803970223325061</v>
      </c>
      <c r="H304">
        <v>17042</v>
      </c>
      <c r="I304">
        <v>27426</v>
      </c>
      <c r="J304">
        <v>17042</v>
      </c>
      <c r="K304">
        <v>0.98188500105925103</v>
      </c>
      <c r="L304">
        <f t="shared" ca="1" si="34"/>
        <v>232.392754</v>
      </c>
      <c r="M304">
        <f t="shared" si="35"/>
        <v>250.41251299999999</v>
      </c>
      <c r="N304">
        <v>17042</v>
      </c>
      <c r="O304">
        <f t="shared" ca="1" si="30"/>
        <v>0.92803970223325061</v>
      </c>
    </row>
    <row r="305" spans="1:15" x14ac:dyDescent="0.2">
      <c r="A305" t="str">
        <f ca="1">IFERROR(__xludf.DUMMYFUNCTION("""COMPUTED_VALUE"""),"km")</f>
        <v>km</v>
      </c>
      <c r="B305" t="str">
        <f ca="1">IFERROR(__xludf.DUMMYFUNCTION("""COMPUTED_VALUE"""),"Model S P85D")</f>
        <v>Model S P85D</v>
      </c>
      <c r="C305">
        <f ca="1">IFERROR(__xludf.DUMMYFUNCTION("""COMPUTED_VALUE"""),406)</f>
        <v>406</v>
      </c>
      <c r="D305">
        <f ca="1">IFERROR(__xludf.DUMMYFUNCTION("""COMPUTED_VALUE"""),21620)</f>
        <v>21620</v>
      </c>
      <c r="E305">
        <f ca="1">IFERROR(__xludf.DUMMYFUNCTION("""COMPUTED_VALUE"""),374)</f>
        <v>374</v>
      </c>
      <c r="F305">
        <v>403</v>
      </c>
      <c r="G305">
        <v>0.92803970223325061</v>
      </c>
      <c r="H305">
        <v>13434</v>
      </c>
      <c r="I305">
        <v>21620</v>
      </c>
      <c r="J305">
        <v>13434</v>
      </c>
      <c r="K305">
        <v>0.98560546818642392</v>
      </c>
      <c r="L305">
        <f t="shared" ca="1" si="34"/>
        <v>232.392754</v>
      </c>
      <c r="M305">
        <f t="shared" si="35"/>
        <v>250.41251299999999</v>
      </c>
      <c r="N305">
        <v>13434</v>
      </c>
      <c r="O305">
        <f t="shared" ca="1" si="30"/>
        <v>0.92803970223325061</v>
      </c>
    </row>
    <row r="306" spans="1:15" x14ac:dyDescent="0.2">
      <c r="A306" t="str">
        <f ca="1">IFERROR(__xludf.DUMMYFUNCTION("""COMPUTED_VALUE"""),"km")</f>
        <v>km</v>
      </c>
      <c r="B306" t="str">
        <f ca="1">IFERROR(__xludf.DUMMYFUNCTION("""COMPUTED_VALUE"""),"Model X 100D")</f>
        <v>Model X 100D</v>
      </c>
      <c r="D306">
        <f ca="1">IFERROR(__xludf.DUMMYFUNCTION("""COMPUTED_VALUE"""),83150)</f>
        <v>83150</v>
      </c>
      <c r="E306">
        <f ca="1">IFERROR(__xludf.DUMMYFUNCTION("""COMPUTED_VALUE"""),416)</f>
        <v>416</v>
      </c>
      <c r="F306">
        <v>448</v>
      </c>
      <c r="G306">
        <v>0.9285714285714286</v>
      </c>
      <c r="H306">
        <v>51667</v>
      </c>
      <c r="I306">
        <v>83150</v>
      </c>
      <c r="J306">
        <v>51667</v>
      </c>
      <c r="K306">
        <v>0.9494028908641835</v>
      </c>
      <c r="L306">
        <f t="shared" ca="1" si="34"/>
        <v>258.49033600000001</v>
      </c>
      <c r="M306">
        <f t="shared" si="35"/>
        <v>278.37420800000001</v>
      </c>
      <c r="N306">
        <v>51667</v>
      </c>
      <c r="O306">
        <f t="shared" ca="1" si="30"/>
        <v>0.9285714285714286</v>
      </c>
    </row>
    <row r="307" spans="1:15" x14ac:dyDescent="0.2">
      <c r="A307" t="str">
        <f ca="1">IFERROR(__xludf.DUMMYFUNCTION("""COMPUTED_VALUE"""),"mi")</f>
        <v>mi</v>
      </c>
      <c r="B307" t="str">
        <f ca="1">IFERROR(__xludf.DUMMYFUNCTION("""COMPUTED_VALUE"""),"Model S 85")</f>
        <v>Model S 85</v>
      </c>
      <c r="D307">
        <f ca="1">IFERROR(__xludf.DUMMYFUNCTION("""COMPUTED_VALUE"""),91128)</f>
        <v>91128</v>
      </c>
      <c r="E307">
        <f ca="1">IFERROR(__xludf.DUMMYFUNCTION("""COMPUTED_VALUE"""),247)</f>
        <v>247</v>
      </c>
      <c r="F307">
        <v>266</v>
      </c>
      <c r="G307">
        <v>0.9285714285714286</v>
      </c>
      <c r="H307">
        <v>91128</v>
      </c>
      <c r="I307">
        <v>146656</v>
      </c>
      <c r="J307">
        <v>91128</v>
      </c>
      <c r="K307">
        <v>0.91985511321175051</v>
      </c>
      <c r="L307">
        <f ca="1">IFERROR(__xludf.DUMMYFUNCTION("""COMPUTED_VALUE"""),247)</f>
        <v>247</v>
      </c>
      <c r="M307">
        <v>266</v>
      </c>
      <c r="N307">
        <v>91128</v>
      </c>
      <c r="O307">
        <f t="shared" ca="1" si="30"/>
        <v>0.9285714285714286</v>
      </c>
    </row>
    <row r="308" spans="1:15" x14ac:dyDescent="0.2">
      <c r="A308" t="str">
        <f ca="1">IFERROR(__xludf.DUMMYFUNCTION("""COMPUTED_VALUE"""),"mi")</f>
        <v>mi</v>
      </c>
      <c r="B308" t="str">
        <f ca="1">IFERROR(__xludf.DUMMYFUNCTION("""COMPUTED_VALUE"""),"Model S 85")</f>
        <v>Model S 85</v>
      </c>
      <c r="C308">
        <f ca="1">IFERROR(__xludf.DUMMYFUNCTION("""COMPUTED_VALUE"""),270)</f>
        <v>270</v>
      </c>
      <c r="D308">
        <f ca="1">IFERROR(__xludf.DUMMYFUNCTION("""COMPUTED_VALUE"""),126500)</f>
        <v>126500</v>
      </c>
      <c r="E308">
        <f ca="1">IFERROR(__xludf.DUMMYFUNCTION("""COMPUTED_VALUE"""),247)</f>
        <v>247</v>
      </c>
      <c r="F308">
        <v>266</v>
      </c>
      <c r="G308">
        <v>0.9285714285714286</v>
      </c>
      <c r="H308">
        <v>126500</v>
      </c>
      <c r="I308">
        <v>203582</v>
      </c>
      <c r="J308">
        <v>126500</v>
      </c>
      <c r="K308">
        <v>0.90059920617468636</v>
      </c>
      <c r="L308">
        <f ca="1">IFERROR(__xludf.DUMMYFUNCTION("""COMPUTED_VALUE"""),247)</f>
        <v>247</v>
      </c>
      <c r="M308">
        <v>266</v>
      </c>
      <c r="N308">
        <v>126500</v>
      </c>
      <c r="O308">
        <f t="shared" ca="1" si="30"/>
        <v>0.9285714285714286</v>
      </c>
    </row>
    <row r="309" spans="1:15" x14ac:dyDescent="0.2">
      <c r="A309" t="str">
        <f ca="1">IFERROR(__xludf.DUMMYFUNCTION("""COMPUTED_VALUE"""),"mi")</f>
        <v>mi</v>
      </c>
      <c r="B309" t="str">
        <f ca="1">IFERROR(__xludf.DUMMYFUNCTION("""COMPUTED_VALUE"""),"Model S P85")</f>
        <v>Model S P85</v>
      </c>
      <c r="C309">
        <f ca="1">IFERROR(__xludf.DUMMYFUNCTION("""COMPUTED_VALUE"""),260)</f>
        <v>260</v>
      </c>
      <c r="D309">
        <f ca="1">IFERROR(__xludf.DUMMYFUNCTION("""COMPUTED_VALUE"""),85063)</f>
        <v>85063</v>
      </c>
      <c r="E309">
        <f ca="1">IFERROR(__xludf.DUMMYFUNCTION("""COMPUTED_VALUE"""),247)</f>
        <v>247</v>
      </c>
      <c r="F309">
        <v>266</v>
      </c>
      <c r="G309">
        <v>0.9285714285714286</v>
      </c>
      <c r="H309">
        <v>85063</v>
      </c>
      <c r="I309">
        <v>136896</v>
      </c>
      <c r="J309">
        <v>85063</v>
      </c>
      <c r="K309">
        <v>0.9238569036169384</v>
      </c>
      <c r="L309">
        <f ca="1">IFERROR(__xludf.DUMMYFUNCTION("""COMPUTED_VALUE"""),247)</f>
        <v>247</v>
      </c>
      <c r="M309">
        <v>266</v>
      </c>
      <c r="N309">
        <v>85063</v>
      </c>
      <c r="O309">
        <f t="shared" ca="1" si="30"/>
        <v>0.9285714285714286</v>
      </c>
    </row>
    <row r="310" spans="1:15" x14ac:dyDescent="0.2">
      <c r="A310" t="str">
        <f ca="1">IFERROR(__xludf.DUMMYFUNCTION("""COMPUTED_VALUE"""),"mi")</f>
        <v>mi</v>
      </c>
      <c r="B310" t="str">
        <f ca="1">IFERROR(__xludf.DUMMYFUNCTION("""COMPUTED_VALUE"""),"Model 3 LR AWD")</f>
        <v>Model 3 LR AWD</v>
      </c>
      <c r="C310">
        <f ca="1">IFERROR(__xludf.DUMMYFUNCTION("""COMPUTED_VALUE"""),310)</f>
        <v>310</v>
      </c>
      <c r="D310">
        <f ca="1">IFERROR(__xludf.DUMMYFUNCTION("""COMPUTED_VALUE"""),85804)</f>
        <v>85804</v>
      </c>
      <c r="E310">
        <f ca="1">IFERROR(__xludf.DUMMYFUNCTION("""COMPUTED_VALUE"""),288)</f>
        <v>288</v>
      </c>
      <c r="F310">
        <v>310</v>
      </c>
      <c r="G310">
        <v>0.92903225806451617</v>
      </c>
      <c r="H310">
        <v>85804</v>
      </c>
      <c r="I310">
        <v>138088</v>
      </c>
      <c r="J310">
        <v>85804</v>
      </c>
      <c r="K310">
        <v>0.92335744111676554</v>
      </c>
      <c r="L310">
        <f ca="1">IFERROR(__xludf.DUMMYFUNCTION("""COMPUTED_VALUE"""),288)</f>
        <v>288</v>
      </c>
      <c r="M310">
        <v>310</v>
      </c>
      <c r="N310">
        <v>85804</v>
      </c>
      <c r="O310">
        <f t="shared" ca="1" si="30"/>
        <v>0.92903225806451617</v>
      </c>
    </row>
    <row r="311" spans="1:15" x14ac:dyDescent="0.2">
      <c r="A311" t="str">
        <f ca="1">IFERROR(__xludf.DUMMYFUNCTION("""COMPUTED_VALUE"""),"mi")</f>
        <v>mi</v>
      </c>
      <c r="B311" t="str">
        <f ca="1">IFERROR(__xludf.DUMMYFUNCTION("""COMPUTED_VALUE"""),"Model 3 LR AWD")</f>
        <v>Model 3 LR AWD</v>
      </c>
      <c r="D311">
        <f ca="1">IFERROR(__xludf.DUMMYFUNCTION("""COMPUTED_VALUE"""),30564)</f>
        <v>30564</v>
      </c>
      <c r="E311">
        <f ca="1">IFERROR(__xludf.DUMMYFUNCTION("""COMPUTED_VALUE"""),288)</f>
        <v>288</v>
      </c>
      <c r="F311">
        <v>310</v>
      </c>
      <c r="G311">
        <v>0.92903225806451617</v>
      </c>
      <c r="H311">
        <v>30564</v>
      </c>
      <c r="I311">
        <v>49188</v>
      </c>
      <c r="J311">
        <v>30564</v>
      </c>
      <c r="K311">
        <v>0.96849712160329593</v>
      </c>
      <c r="L311">
        <f ca="1">IFERROR(__xludf.DUMMYFUNCTION("""COMPUTED_VALUE"""),288)</f>
        <v>288</v>
      </c>
      <c r="M311">
        <v>310</v>
      </c>
      <c r="N311">
        <v>30564</v>
      </c>
      <c r="O311">
        <f t="shared" ca="1" si="30"/>
        <v>0.92903225806451617</v>
      </c>
    </row>
    <row r="312" spans="1:15" x14ac:dyDescent="0.2">
      <c r="A312" t="str">
        <f ca="1">IFERROR(__xludf.DUMMYFUNCTION("""COMPUTED_VALUE"""),"km")</f>
        <v>km</v>
      </c>
      <c r="B312" t="str">
        <f ca="1">IFERROR(__xludf.DUMMYFUNCTION("""COMPUTED_VALUE"""),"Model S 85")</f>
        <v>Model S 85</v>
      </c>
      <c r="D312">
        <f ca="1">IFERROR(__xludf.DUMMYFUNCTION("""COMPUTED_VALUE"""),205746)</f>
        <v>205746</v>
      </c>
      <c r="E312">
        <f ca="1">IFERROR(__xludf.DUMMYFUNCTION("""COMPUTED_VALUE"""),367)</f>
        <v>367</v>
      </c>
      <c r="F312">
        <v>395</v>
      </c>
      <c r="G312">
        <v>0.92911392405063287</v>
      </c>
      <c r="H312">
        <v>127845</v>
      </c>
      <c r="I312">
        <v>205746</v>
      </c>
      <c r="J312">
        <v>127845</v>
      </c>
      <c r="K312">
        <v>0.90000843182150425</v>
      </c>
      <c r="L312">
        <f t="shared" ref="L312:L322" ca="1" si="36">E312*0.621371</f>
        <v>228.04315700000001</v>
      </c>
      <c r="M312">
        <f t="shared" ref="M312:M322" si="37">F312*0.621371</f>
        <v>245.44154499999999</v>
      </c>
      <c r="N312">
        <v>127845</v>
      </c>
      <c r="O312">
        <f t="shared" ca="1" si="30"/>
        <v>0.92911392405063298</v>
      </c>
    </row>
    <row r="313" spans="1:15" x14ac:dyDescent="0.2">
      <c r="A313" t="str">
        <f ca="1">IFERROR(__xludf.DUMMYFUNCTION("""COMPUTED_VALUE"""),"km")</f>
        <v>km</v>
      </c>
      <c r="B313" t="str">
        <f ca="1">IFERROR(__xludf.DUMMYFUNCTION("""COMPUTED_VALUE"""),"Model S 85")</f>
        <v>Model S 85</v>
      </c>
      <c r="D313">
        <f ca="1">IFERROR(__xludf.DUMMYFUNCTION("""COMPUTED_VALUE"""),149100)</f>
        <v>149100</v>
      </c>
      <c r="E313">
        <f ca="1">IFERROR(__xludf.DUMMYFUNCTION("""COMPUTED_VALUE"""),367)</f>
        <v>367</v>
      </c>
      <c r="F313">
        <v>395</v>
      </c>
      <c r="G313">
        <v>0.92911392405063287</v>
      </c>
      <c r="H313">
        <v>92646</v>
      </c>
      <c r="I313">
        <v>149100</v>
      </c>
      <c r="J313">
        <v>92646</v>
      </c>
      <c r="K313">
        <v>0.91888446118105627</v>
      </c>
      <c r="L313">
        <f t="shared" ca="1" si="36"/>
        <v>228.04315700000001</v>
      </c>
      <c r="M313">
        <f t="shared" si="37"/>
        <v>245.44154499999999</v>
      </c>
      <c r="N313">
        <v>92646</v>
      </c>
      <c r="O313">
        <f t="shared" ca="1" si="30"/>
        <v>0.92911392405063298</v>
      </c>
    </row>
    <row r="314" spans="1:15" x14ac:dyDescent="0.2">
      <c r="A314" t="str">
        <f ca="1">IFERROR(__xludf.DUMMYFUNCTION("""COMPUTED_VALUE"""),"km")</f>
        <v>km</v>
      </c>
      <c r="B314" t="str">
        <f ca="1">IFERROR(__xludf.DUMMYFUNCTION("""COMPUTED_VALUE"""),"Model S P85")</f>
        <v>Model S P85</v>
      </c>
      <c r="C314">
        <f ca="1">IFERROR(__xludf.DUMMYFUNCTION("""COMPUTED_VALUE"""),400)</f>
        <v>400</v>
      </c>
      <c r="D314">
        <f ca="1">IFERROR(__xludf.DUMMYFUNCTION("""COMPUTED_VALUE"""),115805)</f>
        <v>115805</v>
      </c>
      <c r="E314">
        <f ca="1">IFERROR(__xludf.DUMMYFUNCTION("""COMPUTED_VALUE"""),367)</f>
        <v>367</v>
      </c>
      <c r="F314">
        <v>395</v>
      </c>
      <c r="G314">
        <v>0.92911392405063287</v>
      </c>
      <c r="H314">
        <v>71958</v>
      </c>
      <c r="I314">
        <v>115805</v>
      </c>
      <c r="J314">
        <v>71958</v>
      </c>
      <c r="K314">
        <v>0.93318183428130985</v>
      </c>
      <c r="L314">
        <f t="shared" ca="1" si="36"/>
        <v>228.04315700000001</v>
      </c>
      <c r="M314">
        <f t="shared" si="37"/>
        <v>245.44154499999999</v>
      </c>
      <c r="N314">
        <v>71958</v>
      </c>
      <c r="O314">
        <f t="shared" ca="1" si="30"/>
        <v>0.92911392405063298</v>
      </c>
    </row>
    <row r="315" spans="1:15" x14ac:dyDescent="0.2">
      <c r="A315" t="str">
        <f ca="1">IFERROR(__xludf.DUMMYFUNCTION("""COMPUTED_VALUE"""),"km")</f>
        <v>km</v>
      </c>
      <c r="B315" t="str">
        <f ca="1">IFERROR(__xludf.DUMMYFUNCTION("""COMPUTED_VALUE"""),"Model S P85")</f>
        <v>Model S P85</v>
      </c>
      <c r="C315">
        <f ca="1">IFERROR(__xludf.DUMMYFUNCTION("""COMPUTED_VALUE"""),395)</f>
        <v>395</v>
      </c>
      <c r="D315">
        <f ca="1">IFERROR(__xludf.DUMMYFUNCTION("""COMPUTED_VALUE"""),206254)</f>
        <v>206254</v>
      </c>
      <c r="E315">
        <f ca="1">IFERROR(__xludf.DUMMYFUNCTION("""COMPUTED_VALUE"""),367)</f>
        <v>367</v>
      </c>
      <c r="F315">
        <v>395</v>
      </c>
      <c r="G315">
        <v>0.92911392405063287</v>
      </c>
      <c r="H315">
        <v>128160</v>
      </c>
      <c r="I315">
        <v>206254</v>
      </c>
      <c r="J315">
        <v>128160</v>
      </c>
      <c r="K315">
        <v>0.89987128041326869</v>
      </c>
      <c r="L315">
        <f t="shared" ca="1" si="36"/>
        <v>228.04315700000001</v>
      </c>
      <c r="M315">
        <f t="shared" si="37"/>
        <v>245.44154499999999</v>
      </c>
      <c r="N315">
        <v>128160</v>
      </c>
      <c r="O315">
        <f t="shared" ca="1" si="30"/>
        <v>0.92911392405063298</v>
      </c>
    </row>
    <row r="316" spans="1:15" x14ac:dyDescent="0.2">
      <c r="A316" t="str">
        <f ca="1">IFERROR(__xludf.DUMMYFUNCTION("""COMPUTED_VALUE"""),"km")</f>
        <v>km</v>
      </c>
      <c r="B316" t="str">
        <f ca="1">IFERROR(__xludf.DUMMYFUNCTION("""COMPUTED_VALUE"""),"Model S P85")</f>
        <v>Model S P85</v>
      </c>
      <c r="C316">
        <f ca="1">IFERROR(__xludf.DUMMYFUNCTION("""COMPUTED_VALUE"""),400)</f>
        <v>400</v>
      </c>
      <c r="D316">
        <f ca="1">IFERROR(__xludf.DUMMYFUNCTION("""COMPUTED_VALUE"""),246000)</f>
        <v>246000</v>
      </c>
      <c r="E316">
        <f ca="1">IFERROR(__xludf.DUMMYFUNCTION("""COMPUTED_VALUE"""),367)</f>
        <v>367</v>
      </c>
      <c r="F316">
        <v>395</v>
      </c>
      <c r="G316">
        <v>0.92911392405063287</v>
      </c>
      <c r="H316">
        <v>152857</v>
      </c>
      <c r="I316">
        <v>246000</v>
      </c>
      <c r="J316">
        <v>152857</v>
      </c>
      <c r="K316">
        <v>0.89097699400052444</v>
      </c>
      <c r="L316">
        <f t="shared" ca="1" si="36"/>
        <v>228.04315700000001</v>
      </c>
      <c r="M316">
        <f t="shared" si="37"/>
        <v>245.44154499999999</v>
      </c>
      <c r="N316">
        <v>152857</v>
      </c>
      <c r="O316">
        <f t="shared" ca="1" si="30"/>
        <v>0.92911392405063298</v>
      </c>
    </row>
    <row r="317" spans="1:15" x14ac:dyDescent="0.2">
      <c r="A317" t="str">
        <f ca="1">IFERROR(__xludf.DUMMYFUNCTION("""COMPUTED_VALUE"""),"km")</f>
        <v>km</v>
      </c>
      <c r="B317" t="str">
        <f ca="1">IFERROR(__xludf.DUMMYFUNCTION("""COMPUTED_VALUE"""),"Model S P85")</f>
        <v>Model S P85</v>
      </c>
      <c r="C317">
        <f ca="1">IFERROR(__xludf.DUMMYFUNCTION("""COMPUTED_VALUE"""),392)</f>
        <v>392</v>
      </c>
      <c r="D317">
        <f ca="1">IFERROR(__xludf.DUMMYFUNCTION("""COMPUTED_VALUE"""),201000)</f>
        <v>201000</v>
      </c>
      <c r="E317">
        <f ca="1">IFERROR(__xludf.DUMMYFUNCTION("""COMPUTED_VALUE"""),367)</f>
        <v>367</v>
      </c>
      <c r="F317">
        <v>395</v>
      </c>
      <c r="G317">
        <v>0.92911392405063287</v>
      </c>
      <c r="H317">
        <v>124896</v>
      </c>
      <c r="I317">
        <v>201000</v>
      </c>
      <c r="J317">
        <v>124896</v>
      </c>
      <c r="K317">
        <v>0.90131790847330484</v>
      </c>
      <c r="L317">
        <f t="shared" ca="1" si="36"/>
        <v>228.04315700000001</v>
      </c>
      <c r="M317">
        <f t="shared" si="37"/>
        <v>245.44154499999999</v>
      </c>
      <c r="N317">
        <v>124896</v>
      </c>
      <c r="O317">
        <f t="shared" ca="1" si="30"/>
        <v>0.92911392405063298</v>
      </c>
    </row>
    <row r="318" spans="1:15" x14ac:dyDescent="0.2">
      <c r="A318" t="str">
        <f ca="1">IFERROR(__xludf.DUMMYFUNCTION("""COMPUTED_VALUE"""),"km")</f>
        <v>km</v>
      </c>
      <c r="B318" t="str">
        <f ca="1">IFERROR(__xludf.DUMMYFUNCTION("""COMPUTED_VALUE"""),"Model S 85")</f>
        <v>Model S 85</v>
      </c>
      <c r="D318">
        <f ca="1">IFERROR(__xludf.DUMMYFUNCTION("""COMPUTED_VALUE"""),55421)</f>
        <v>55421</v>
      </c>
      <c r="E318">
        <f ca="1">IFERROR(__xludf.DUMMYFUNCTION("""COMPUTED_VALUE"""),367)</f>
        <v>367</v>
      </c>
      <c r="F318">
        <v>395</v>
      </c>
      <c r="G318">
        <v>0.92911392405063287</v>
      </c>
      <c r="H318">
        <v>34437</v>
      </c>
      <c r="I318">
        <v>55421</v>
      </c>
      <c r="J318">
        <v>34437</v>
      </c>
      <c r="K318">
        <v>0.96482674271895297</v>
      </c>
      <c r="L318">
        <f t="shared" ca="1" si="36"/>
        <v>228.04315700000001</v>
      </c>
      <c r="M318">
        <f t="shared" si="37"/>
        <v>245.44154499999999</v>
      </c>
      <c r="N318">
        <v>34437</v>
      </c>
      <c r="O318">
        <f t="shared" ca="1" si="30"/>
        <v>0.92911392405063298</v>
      </c>
    </row>
    <row r="319" spans="1:15" x14ac:dyDescent="0.2">
      <c r="A319" t="str">
        <f ca="1">IFERROR(__xludf.DUMMYFUNCTION("""COMPUTED_VALUE"""),"km")</f>
        <v>km</v>
      </c>
      <c r="B319" t="str">
        <f ca="1">IFERROR(__xludf.DUMMYFUNCTION("""COMPUTED_VALUE"""),"Model S 85")</f>
        <v>Model S 85</v>
      </c>
      <c r="D319">
        <f ca="1">IFERROR(__xludf.DUMMYFUNCTION("""COMPUTED_VALUE"""),48521)</f>
        <v>48521</v>
      </c>
      <c r="E319">
        <f ca="1">IFERROR(__xludf.DUMMYFUNCTION("""COMPUTED_VALUE"""),367)</f>
        <v>367</v>
      </c>
      <c r="F319">
        <v>395</v>
      </c>
      <c r="G319">
        <v>0.92911392405063287</v>
      </c>
      <c r="H319">
        <v>30150</v>
      </c>
      <c r="I319">
        <v>48521</v>
      </c>
      <c r="J319">
        <v>30150</v>
      </c>
      <c r="K319">
        <v>0.9688942564418469</v>
      </c>
      <c r="L319">
        <f t="shared" ca="1" si="36"/>
        <v>228.04315700000001</v>
      </c>
      <c r="M319">
        <f t="shared" si="37"/>
        <v>245.44154499999999</v>
      </c>
      <c r="N319">
        <v>30150</v>
      </c>
      <c r="O319">
        <f t="shared" ca="1" si="30"/>
        <v>0.92911392405063298</v>
      </c>
    </row>
    <row r="320" spans="1:15" x14ac:dyDescent="0.2">
      <c r="A320" t="str">
        <f ca="1">IFERROR(__xludf.DUMMYFUNCTION("""COMPUTED_VALUE"""),"km")</f>
        <v>km</v>
      </c>
      <c r="B320" t="str">
        <f ca="1">IFERROR(__xludf.DUMMYFUNCTION("""COMPUTED_VALUE"""),"Model S P85")</f>
        <v>Model S P85</v>
      </c>
      <c r="C320">
        <f ca="1">IFERROR(__xludf.DUMMYFUNCTION("""COMPUTED_VALUE"""),395)</f>
        <v>395</v>
      </c>
      <c r="D320">
        <f ca="1">IFERROR(__xludf.DUMMYFUNCTION("""COMPUTED_VALUE"""),115000)</f>
        <v>115000</v>
      </c>
      <c r="E320">
        <f ca="1">IFERROR(__xludf.DUMMYFUNCTION("""COMPUTED_VALUE"""),367)</f>
        <v>367</v>
      </c>
      <c r="F320">
        <v>395</v>
      </c>
      <c r="G320">
        <v>0.92911392405063287</v>
      </c>
      <c r="H320">
        <v>71458</v>
      </c>
      <c r="I320">
        <v>115000</v>
      </c>
      <c r="J320">
        <v>71458</v>
      </c>
      <c r="K320">
        <v>0.93355587399425566</v>
      </c>
      <c r="L320">
        <f t="shared" ca="1" si="36"/>
        <v>228.04315700000001</v>
      </c>
      <c r="M320">
        <f t="shared" si="37"/>
        <v>245.44154499999999</v>
      </c>
      <c r="N320">
        <v>71458</v>
      </c>
      <c r="O320">
        <f t="shared" ca="1" si="30"/>
        <v>0.92911392405063298</v>
      </c>
    </row>
    <row r="321" spans="1:15" x14ac:dyDescent="0.2">
      <c r="A321" t="str">
        <f ca="1">IFERROR(__xludf.DUMMYFUNCTION("""COMPUTED_VALUE"""),"km")</f>
        <v>km</v>
      </c>
      <c r="B321" t="str">
        <f ca="1">IFERROR(__xludf.DUMMYFUNCTION("""COMPUTED_VALUE"""),"Model S P85+")</f>
        <v>Model S P85+</v>
      </c>
      <c r="C321">
        <f ca="1">IFERROR(__xludf.DUMMYFUNCTION("""COMPUTED_VALUE"""),400)</f>
        <v>400</v>
      </c>
      <c r="D321">
        <f ca="1">IFERROR(__xludf.DUMMYFUNCTION("""COMPUTED_VALUE"""),80690)</f>
        <v>80690</v>
      </c>
      <c r="E321">
        <f ca="1">IFERROR(__xludf.DUMMYFUNCTION("""COMPUTED_VALUE"""),367)</f>
        <v>367</v>
      </c>
      <c r="F321">
        <v>395</v>
      </c>
      <c r="G321">
        <v>0.92911392405063287</v>
      </c>
      <c r="H321">
        <v>50138</v>
      </c>
      <c r="I321">
        <v>80690</v>
      </c>
      <c r="J321">
        <v>50138</v>
      </c>
      <c r="K321">
        <v>0.95071079629790578</v>
      </c>
      <c r="L321">
        <f t="shared" ca="1" si="36"/>
        <v>228.04315700000001</v>
      </c>
      <c r="M321">
        <f t="shared" si="37"/>
        <v>245.44154499999999</v>
      </c>
      <c r="N321">
        <v>50138</v>
      </c>
      <c r="O321">
        <f t="shared" ca="1" si="30"/>
        <v>0.92911392405063298</v>
      </c>
    </row>
    <row r="322" spans="1:15" x14ac:dyDescent="0.2">
      <c r="A322" t="str">
        <f ca="1">IFERROR(__xludf.DUMMYFUNCTION("""COMPUTED_VALUE"""),"km")</f>
        <v>km</v>
      </c>
      <c r="B322" t="str">
        <f ca="1">IFERROR(__xludf.DUMMYFUNCTION("""COMPUTED_VALUE"""),"Model S P85+")</f>
        <v>Model S P85+</v>
      </c>
      <c r="C322">
        <f ca="1">IFERROR(__xludf.DUMMYFUNCTION("""COMPUTED_VALUE"""),387)</f>
        <v>387</v>
      </c>
      <c r="D322">
        <f ca="1">IFERROR(__xludf.DUMMYFUNCTION("""COMPUTED_VALUE"""),40532)</f>
        <v>40532</v>
      </c>
      <c r="E322">
        <f ca="1">IFERROR(__xludf.DUMMYFUNCTION("""COMPUTED_VALUE"""),367)</f>
        <v>367</v>
      </c>
      <c r="F322">
        <v>395</v>
      </c>
      <c r="G322">
        <v>0.92911392405063287</v>
      </c>
      <c r="H322">
        <v>25185</v>
      </c>
      <c r="I322">
        <v>40532</v>
      </c>
      <c r="J322">
        <v>25185</v>
      </c>
      <c r="K322">
        <v>0.97371614223526426</v>
      </c>
      <c r="L322">
        <f t="shared" ca="1" si="36"/>
        <v>228.04315700000001</v>
      </c>
      <c r="M322">
        <f t="shared" si="37"/>
        <v>245.44154499999999</v>
      </c>
      <c r="N322">
        <v>25185</v>
      </c>
      <c r="O322">
        <f t="shared" ref="O322:O385" ca="1" si="38">L322/M322</f>
        <v>0.92911392405063298</v>
      </c>
    </row>
    <row r="323" spans="1:15" x14ac:dyDescent="0.2">
      <c r="A323" t="str">
        <f ca="1">IFERROR(__xludf.DUMMYFUNCTION("""COMPUTED_VALUE"""),"mi")</f>
        <v>mi</v>
      </c>
      <c r="B323" t="str">
        <f ca="1">IFERROR(__xludf.DUMMYFUNCTION("""COMPUTED_VALUE"""),"Model 3 SR+")</f>
        <v>Model 3 SR+</v>
      </c>
      <c r="C323">
        <f ca="1">IFERROR(__xludf.DUMMYFUNCTION("""COMPUTED_VALUE"""),238)</f>
        <v>238</v>
      </c>
      <c r="D323">
        <f ca="1">IFERROR(__xludf.DUMMYFUNCTION("""COMPUTED_VALUE"""),11450)</f>
        <v>11450</v>
      </c>
      <c r="E323">
        <f ca="1">IFERROR(__xludf.DUMMYFUNCTION("""COMPUTED_VALUE"""),223)</f>
        <v>223</v>
      </c>
      <c r="F323">
        <v>240</v>
      </c>
      <c r="G323">
        <v>0.9291666666666667</v>
      </c>
      <c r="H323">
        <v>11450</v>
      </c>
      <c r="I323">
        <v>18427</v>
      </c>
      <c r="J323">
        <v>11450</v>
      </c>
      <c r="K323">
        <v>0.98767790782895271</v>
      </c>
      <c r="L323">
        <f ca="1">IFERROR(__xludf.DUMMYFUNCTION("""COMPUTED_VALUE"""),223)</f>
        <v>223</v>
      </c>
      <c r="M323">
        <v>240</v>
      </c>
      <c r="N323">
        <v>11450</v>
      </c>
      <c r="O323">
        <f t="shared" ca="1" si="38"/>
        <v>0.9291666666666667</v>
      </c>
    </row>
    <row r="324" spans="1:15" x14ac:dyDescent="0.2">
      <c r="A324" t="str">
        <f ca="1">IFERROR(__xludf.DUMMYFUNCTION("""COMPUTED_VALUE"""),"km")</f>
        <v>km</v>
      </c>
      <c r="B324" t="str">
        <f ca="1">IFERROR(__xludf.DUMMYFUNCTION("""COMPUTED_VALUE"""),"Model S 85D")</f>
        <v>Model S 85D</v>
      </c>
      <c r="D324">
        <f ca="1">IFERROR(__xludf.DUMMYFUNCTION("""COMPUTED_VALUE"""),26085)</f>
        <v>26085</v>
      </c>
      <c r="E324">
        <f ca="1">IFERROR(__xludf.DUMMYFUNCTION("""COMPUTED_VALUE"""),395)</f>
        <v>395</v>
      </c>
      <c r="F324">
        <v>425</v>
      </c>
      <c r="G324">
        <v>0.92941176470588238</v>
      </c>
      <c r="H324">
        <v>16208</v>
      </c>
      <c r="I324">
        <v>26085</v>
      </c>
      <c r="J324">
        <v>16208</v>
      </c>
      <c r="K324">
        <v>0.98273879780534656</v>
      </c>
      <c r="L324">
        <f t="shared" ref="L324:L332" ca="1" si="39">E324*0.621371</f>
        <v>245.44154499999999</v>
      </c>
      <c r="M324">
        <f t="shared" ref="M324:M332" si="40">F324*0.621371</f>
        <v>264.08267499999999</v>
      </c>
      <c r="N324">
        <v>16208</v>
      </c>
      <c r="O324">
        <f t="shared" ca="1" si="38"/>
        <v>0.92941176470588238</v>
      </c>
    </row>
    <row r="325" spans="1:15" x14ac:dyDescent="0.2">
      <c r="A325" t="str">
        <f ca="1">IFERROR(__xludf.DUMMYFUNCTION("""COMPUTED_VALUE"""),"km")</f>
        <v>km</v>
      </c>
      <c r="B325" t="str">
        <f ca="1">IFERROR(__xludf.DUMMYFUNCTION("""COMPUTED_VALUE"""),"Model S 75D")</f>
        <v>Model S 75D</v>
      </c>
      <c r="D325">
        <f ca="1">IFERROR(__xludf.DUMMYFUNCTION("""COMPUTED_VALUE"""),73876)</f>
        <v>73876</v>
      </c>
      <c r="E325">
        <f ca="1">IFERROR(__xludf.DUMMYFUNCTION("""COMPUTED_VALUE"""),357)</f>
        <v>357</v>
      </c>
      <c r="F325">
        <v>384</v>
      </c>
      <c r="G325">
        <v>0.9296875</v>
      </c>
      <c r="H325">
        <v>45904</v>
      </c>
      <c r="I325">
        <v>73876</v>
      </c>
      <c r="J325">
        <v>45904</v>
      </c>
      <c r="K325">
        <v>0.95439545350644939</v>
      </c>
      <c r="L325">
        <f t="shared" ca="1" si="39"/>
        <v>221.82944700000002</v>
      </c>
      <c r="M325">
        <f t="shared" si="40"/>
        <v>238.60646400000002</v>
      </c>
      <c r="N325">
        <v>45904</v>
      </c>
      <c r="O325">
        <f t="shared" ca="1" si="38"/>
        <v>0.9296875</v>
      </c>
    </row>
    <row r="326" spans="1:15" x14ac:dyDescent="0.2">
      <c r="A326" t="str">
        <f ca="1">IFERROR(__xludf.DUMMYFUNCTION("""COMPUTED_VALUE"""),"km")</f>
        <v>km</v>
      </c>
      <c r="B326" t="str">
        <f ca="1">IFERROR(__xludf.DUMMYFUNCTION("""COMPUTED_VALUE"""),"Model 3 LR AWD")</f>
        <v>Model 3 LR AWD</v>
      </c>
      <c r="D326">
        <f ca="1">IFERROR(__xludf.DUMMYFUNCTION("""COMPUTED_VALUE"""),67153)</f>
        <v>67153</v>
      </c>
      <c r="E326">
        <f ca="1">IFERROR(__xludf.DUMMYFUNCTION("""COMPUTED_VALUE"""),464)</f>
        <v>464</v>
      </c>
      <c r="F326">
        <v>499</v>
      </c>
      <c r="G326">
        <v>0.9298597194388778</v>
      </c>
      <c r="H326">
        <v>41727</v>
      </c>
      <c r="I326">
        <v>67153</v>
      </c>
      <c r="J326">
        <v>41727</v>
      </c>
      <c r="K326">
        <v>0.95811946244503465</v>
      </c>
      <c r="L326">
        <f t="shared" ca="1" si="39"/>
        <v>288.31614400000001</v>
      </c>
      <c r="M326">
        <f t="shared" si="40"/>
        <v>310.06412899999998</v>
      </c>
      <c r="N326">
        <v>41727</v>
      </c>
      <c r="O326">
        <f t="shared" ca="1" si="38"/>
        <v>0.9298597194388778</v>
      </c>
    </row>
    <row r="327" spans="1:15" x14ac:dyDescent="0.2">
      <c r="A327" t="str">
        <f ca="1">IFERROR(__xludf.DUMMYFUNCTION("""COMPUTED_VALUE"""),"km")</f>
        <v>km</v>
      </c>
      <c r="B327" t="str">
        <f ca="1">IFERROR(__xludf.DUMMYFUNCTION("""COMPUTED_VALUE"""),"Model 3 LR AWD")</f>
        <v>Model 3 LR AWD</v>
      </c>
      <c r="C327">
        <f ca="1">IFERROR(__xludf.DUMMYFUNCTION("""COMPUTED_VALUE"""),499)</f>
        <v>499</v>
      </c>
      <c r="D327">
        <f ca="1">IFERROR(__xludf.DUMMYFUNCTION("""COMPUTED_VALUE"""),28000)</f>
        <v>28000</v>
      </c>
      <c r="E327">
        <f ca="1">IFERROR(__xludf.DUMMYFUNCTION("""COMPUTED_VALUE"""),464)</f>
        <v>464</v>
      </c>
      <c r="F327">
        <v>499</v>
      </c>
      <c r="G327">
        <v>0.9298597194388778</v>
      </c>
      <c r="H327">
        <v>17398</v>
      </c>
      <c r="I327">
        <v>28000</v>
      </c>
      <c r="J327">
        <v>17398</v>
      </c>
      <c r="K327">
        <v>0.98152055728909948</v>
      </c>
      <c r="L327">
        <f t="shared" ca="1" si="39"/>
        <v>288.31614400000001</v>
      </c>
      <c r="M327">
        <f t="shared" si="40"/>
        <v>310.06412899999998</v>
      </c>
      <c r="N327">
        <v>17398</v>
      </c>
      <c r="O327">
        <f t="shared" ca="1" si="38"/>
        <v>0.9298597194388778</v>
      </c>
    </row>
    <row r="328" spans="1:15" x14ac:dyDescent="0.2">
      <c r="A328" t="str">
        <f ca="1">IFERROR(__xludf.DUMMYFUNCTION("""COMPUTED_VALUE"""),"km")</f>
        <v>km</v>
      </c>
      <c r="B328" t="str">
        <f ca="1">IFERROR(__xludf.DUMMYFUNCTION("""COMPUTED_VALUE"""),"Model S 85")</f>
        <v>Model S 85</v>
      </c>
      <c r="D328">
        <f ca="1">IFERROR(__xludf.DUMMYFUNCTION("""COMPUTED_VALUE"""),147694)</f>
        <v>147694</v>
      </c>
      <c r="E328">
        <f ca="1">IFERROR(__xludf.DUMMYFUNCTION("""COMPUTED_VALUE"""),398)</f>
        <v>398</v>
      </c>
      <c r="F328">
        <v>428</v>
      </c>
      <c r="G328">
        <v>0.92990654205607481</v>
      </c>
      <c r="H328">
        <v>91773</v>
      </c>
      <c r="I328">
        <v>147694</v>
      </c>
      <c r="J328">
        <v>91773</v>
      </c>
      <c r="K328">
        <v>0.91944131965624587</v>
      </c>
      <c r="L328">
        <f t="shared" ca="1" si="39"/>
        <v>247.30565799999999</v>
      </c>
      <c r="M328">
        <f t="shared" si="40"/>
        <v>265.94678800000003</v>
      </c>
      <c r="N328">
        <v>91773</v>
      </c>
      <c r="O328">
        <f t="shared" ca="1" si="38"/>
        <v>0.9299065420560747</v>
      </c>
    </row>
    <row r="329" spans="1:15" x14ac:dyDescent="0.2">
      <c r="A329" t="str">
        <f ca="1">IFERROR(__xludf.DUMMYFUNCTION("""COMPUTED_VALUE"""),"km")</f>
        <v>km</v>
      </c>
      <c r="B329" t="str">
        <f ca="1">IFERROR(__xludf.DUMMYFUNCTION("""COMPUTED_VALUE"""),"Model S 85")</f>
        <v>Model S 85</v>
      </c>
      <c r="D329">
        <f ca="1">IFERROR(__xludf.DUMMYFUNCTION("""COMPUTED_VALUE"""),140626)</f>
        <v>140626</v>
      </c>
      <c r="E329">
        <f ca="1">IFERROR(__xludf.DUMMYFUNCTION("""COMPUTED_VALUE"""),398)</f>
        <v>398</v>
      </c>
      <c r="F329">
        <v>428</v>
      </c>
      <c r="G329">
        <v>0.92990654205607481</v>
      </c>
      <c r="H329">
        <v>87381</v>
      </c>
      <c r="I329">
        <v>140626</v>
      </c>
      <c r="J329">
        <v>87381</v>
      </c>
      <c r="K329">
        <v>0.92230390150871766</v>
      </c>
      <c r="L329">
        <f t="shared" ca="1" si="39"/>
        <v>247.30565799999999</v>
      </c>
      <c r="M329">
        <f t="shared" si="40"/>
        <v>265.94678800000003</v>
      </c>
      <c r="N329">
        <v>87381</v>
      </c>
      <c r="O329">
        <f t="shared" ca="1" si="38"/>
        <v>0.9299065420560747</v>
      </c>
    </row>
    <row r="330" spans="1:15" x14ac:dyDescent="0.2">
      <c r="A330" t="str">
        <f ca="1">IFERROR(__xludf.DUMMYFUNCTION("""COMPUTED_VALUE"""),"km")</f>
        <v>km</v>
      </c>
      <c r="B330" t="str">
        <f ca="1">IFERROR(__xludf.DUMMYFUNCTION("""COMPUTED_VALUE"""),"Model S P85")</f>
        <v>Model S P85</v>
      </c>
      <c r="C330">
        <f ca="1">IFERROR(__xludf.DUMMYFUNCTION("""COMPUTED_VALUE"""),425)</f>
        <v>425</v>
      </c>
      <c r="D330">
        <f ca="1">IFERROR(__xludf.DUMMYFUNCTION("""COMPUTED_VALUE"""),111001)</f>
        <v>111001</v>
      </c>
      <c r="E330">
        <f ca="1">IFERROR(__xludf.DUMMYFUNCTION("""COMPUTED_VALUE"""),398)</f>
        <v>398</v>
      </c>
      <c r="F330">
        <v>428</v>
      </c>
      <c r="G330">
        <v>0.92990654205607481</v>
      </c>
      <c r="H330">
        <v>68973</v>
      </c>
      <c r="I330">
        <v>111001</v>
      </c>
      <c r="J330">
        <v>68973</v>
      </c>
      <c r="K330">
        <v>0.93543355500955017</v>
      </c>
      <c r="L330">
        <f t="shared" ca="1" si="39"/>
        <v>247.30565799999999</v>
      </c>
      <c r="M330">
        <f t="shared" si="40"/>
        <v>265.94678800000003</v>
      </c>
      <c r="N330">
        <v>68973</v>
      </c>
      <c r="O330">
        <f t="shared" ca="1" si="38"/>
        <v>0.9299065420560747</v>
      </c>
    </row>
    <row r="331" spans="1:15" x14ac:dyDescent="0.2">
      <c r="A331" t="str">
        <f ca="1">IFERROR(__xludf.DUMMYFUNCTION("""COMPUTED_VALUE"""),"km")</f>
        <v>km</v>
      </c>
      <c r="B331" t="str">
        <f ca="1">IFERROR(__xludf.DUMMYFUNCTION("""COMPUTED_VALUE"""),"Model X 90D")</f>
        <v>Model X 90D</v>
      </c>
      <c r="D331">
        <f ca="1">IFERROR(__xludf.DUMMYFUNCTION("""COMPUTED_VALUE"""),72019)</f>
        <v>72019</v>
      </c>
      <c r="E331">
        <f ca="1">IFERROR(__xludf.DUMMYFUNCTION("""COMPUTED_VALUE"""),372)</f>
        <v>372</v>
      </c>
      <c r="F331">
        <v>400</v>
      </c>
      <c r="G331">
        <v>0.93</v>
      </c>
      <c r="H331">
        <v>44751</v>
      </c>
      <c r="I331">
        <v>72019</v>
      </c>
      <c r="J331">
        <v>44751</v>
      </c>
      <c r="K331">
        <v>0.95541532014463915</v>
      </c>
      <c r="L331">
        <f t="shared" ca="1" si="39"/>
        <v>231.150012</v>
      </c>
      <c r="M331">
        <f t="shared" si="40"/>
        <v>248.54840000000002</v>
      </c>
      <c r="N331">
        <v>44751</v>
      </c>
      <c r="O331">
        <f t="shared" ca="1" si="38"/>
        <v>0.92999999999999994</v>
      </c>
    </row>
    <row r="332" spans="1:15" x14ac:dyDescent="0.2">
      <c r="A332" t="str">
        <f ca="1">IFERROR(__xludf.DUMMYFUNCTION("""COMPUTED_VALUE"""),"km")</f>
        <v>km</v>
      </c>
      <c r="B332" t="str">
        <f ca="1">IFERROR(__xludf.DUMMYFUNCTION("""COMPUTED_VALUE"""),"Model X 90D")</f>
        <v>Model X 90D</v>
      </c>
      <c r="D332">
        <f ca="1">IFERROR(__xludf.DUMMYFUNCTION("""COMPUTED_VALUE"""),52783)</f>
        <v>52783</v>
      </c>
      <c r="E332">
        <f ca="1">IFERROR(__xludf.DUMMYFUNCTION("""COMPUTED_VALUE"""),372)</f>
        <v>372</v>
      </c>
      <c r="F332">
        <v>400</v>
      </c>
      <c r="G332">
        <v>0.93</v>
      </c>
      <c r="H332">
        <v>32798</v>
      </c>
      <c r="I332">
        <v>52783</v>
      </c>
      <c r="J332">
        <v>32798</v>
      </c>
      <c r="K332">
        <v>0.96637115515132177</v>
      </c>
      <c r="L332">
        <f t="shared" ca="1" si="39"/>
        <v>231.150012</v>
      </c>
      <c r="M332">
        <f t="shared" si="40"/>
        <v>248.54840000000002</v>
      </c>
      <c r="N332">
        <v>32798</v>
      </c>
      <c r="O332">
        <f t="shared" ca="1" si="38"/>
        <v>0.92999999999999994</v>
      </c>
    </row>
    <row r="333" spans="1:15" x14ac:dyDescent="0.2">
      <c r="A333" t="str">
        <f ca="1">IFERROR(__xludf.DUMMYFUNCTION("""COMPUTED_VALUE"""),"mi")</f>
        <v>mi</v>
      </c>
      <c r="B333" t="str">
        <f ca="1">IFERROR(__xludf.DUMMYFUNCTION("""COMPUTED_VALUE"""),"Model S 85")</f>
        <v>Model S 85</v>
      </c>
      <c r="C333">
        <f ca="1">IFERROR(__xludf.DUMMYFUNCTION("""COMPUTED_VALUE"""),265)</f>
        <v>265</v>
      </c>
      <c r="D333">
        <f ca="1">IFERROR(__xludf.DUMMYFUNCTION("""COMPUTED_VALUE"""),129190)</f>
        <v>129190</v>
      </c>
      <c r="E333">
        <f ca="1">IFERROR(__xludf.DUMMYFUNCTION("""COMPUTED_VALUE"""),247.46)</f>
        <v>247.46</v>
      </c>
      <c r="F333">
        <v>266</v>
      </c>
      <c r="G333">
        <v>0.93030075187969929</v>
      </c>
      <c r="H333">
        <v>129190</v>
      </c>
      <c r="I333">
        <v>207911</v>
      </c>
      <c r="J333">
        <v>129190</v>
      </c>
      <c r="K333">
        <v>0.89942797702352062</v>
      </c>
      <c r="L333">
        <f ca="1">IFERROR(__xludf.DUMMYFUNCTION("""COMPUTED_VALUE"""),247.46)</f>
        <v>247.46</v>
      </c>
      <c r="M333">
        <v>266</v>
      </c>
      <c r="N333">
        <v>129190</v>
      </c>
      <c r="O333">
        <f t="shared" ca="1" si="38"/>
        <v>0.93030075187969929</v>
      </c>
    </row>
    <row r="334" spans="1:15" x14ac:dyDescent="0.2">
      <c r="A334" t="str">
        <f ca="1">IFERROR(__xludf.DUMMYFUNCTION("""COMPUTED_VALUE"""),"km")</f>
        <v>km</v>
      </c>
      <c r="B334" t="str">
        <f ca="1">IFERROR(__xludf.DUMMYFUNCTION("""COMPUTED_VALUE"""),"Model S P85D")</f>
        <v>Model S P85D</v>
      </c>
      <c r="C334">
        <f ca="1">IFERROR(__xludf.DUMMYFUNCTION("""COMPUTED_VALUE"""),407)</f>
        <v>407</v>
      </c>
      <c r="D334">
        <f ca="1">IFERROR(__xludf.DUMMYFUNCTION("""COMPUTED_VALUE"""),53000)</f>
        <v>53000</v>
      </c>
      <c r="E334">
        <f ca="1">IFERROR(__xludf.DUMMYFUNCTION("""COMPUTED_VALUE"""),375)</f>
        <v>375</v>
      </c>
      <c r="F334">
        <v>403</v>
      </c>
      <c r="G334">
        <v>0.9305210918114144</v>
      </c>
      <c r="H334">
        <v>32933</v>
      </c>
      <c r="I334">
        <v>53000</v>
      </c>
      <c r="J334">
        <v>32933</v>
      </c>
      <c r="K334">
        <v>0.96624361324484298</v>
      </c>
      <c r="L334">
        <f t="shared" ref="L334:M338" ca="1" si="41">E334*0.621371</f>
        <v>233.01412500000001</v>
      </c>
      <c r="M334">
        <f t="shared" si="41"/>
        <v>250.41251299999999</v>
      </c>
      <c r="N334">
        <v>32933</v>
      </c>
      <c r="O334">
        <f t="shared" ca="1" si="38"/>
        <v>0.9305210918114144</v>
      </c>
    </row>
    <row r="335" spans="1:15" x14ac:dyDescent="0.2">
      <c r="A335" t="str">
        <f ca="1">IFERROR(__xludf.DUMMYFUNCTION("""COMPUTED_VALUE"""),"km")</f>
        <v>km</v>
      </c>
      <c r="B335" t="str">
        <f ca="1">IFERROR(__xludf.DUMMYFUNCTION("""COMPUTED_VALUE"""),"Model S P85D")</f>
        <v>Model S P85D</v>
      </c>
      <c r="C335">
        <f ca="1">IFERROR(__xludf.DUMMYFUNCTION("""COMPUTED_VALUE"""),406)</f>
        <v>406</v>
      </c>
      <c r="D335">
        <f ca="1">IFERROR(__xludf.DUMMYFUNCTION("""COMPUTED_VALUE"""),26081)</f>
        <v>26081</v>
      </c>
      <c r="E335">
        <f ca="1">IFERROR(__xludf.DUMMYFUNCTION("""COMPUTED_VALUE"""),375)</f>
        <v>375</v>
      </c>
      <c r="F335">
        <v>403</v>
      </c>
      <c r="G335">
        <v>0.9305210918114144</v>
      </c>
      <c r="H335">
        <v>16206</v>
      </c>
      <c r="I335">
        <v>26081</v>
      </c>
      <c r="J335">
        <v>16206</v>
      </c>
      <c r="K335">
        <v>0.98274134951282266</v>
      </c>
      <c r="L335">
        <f t="shared" ca="1" si="41"/>
        <v>233.01412500000001</v>
      </c>
      <c r="M335">
        <f t="shared" si="41"/>
        <v>250.41251299999999</v>
      </c>
      <c r="N335">
        <v>16206</v>
      </c>
      <c r="O335">
        <f t="shared" ca="1" si="38"/>
        <v>0.9305210918114144</v>
      </c>
    </row>
    <row r="336" spans="1:15" x14ac:dyDescent="0.2">
      <c r="A336" t="str">
        <f ca="1">IFERROR(__xludf.DUMMYFUNCTION("""COMPUTED_VALUE"""),"km")</f>
        <v>km</v>
      </c>
      <c r="B336" t="str">
        <f ca="1">IFERROR(__xludf.DUMMYFUNCTION("""COMPUTED_VALUE"""),"Model S P85D")</f>
        <v>Model S P85D</v>
      </c>
      <c r="C336">
        <f ca="1">IFERROR(__xludf.DUMMYFUNCTION("""COMPUTED_VALUE"""),406)</f>
        <v>406</v>
      </c>
      <c r="D336">
        <f ca="1">IFERROR(__xludf.DUMMYFUNCTION("""COMPUTED_VALUE"""),21878)</f>
        <v>21878</v>
      </c>
      <c r="E336">
        <f ca="1">IFERROR(__xludf.DUMMYFUNCTION("""COMPUTED_VALUE"""),375)</f>
        <v>375</v>
      </c>
      <c r="F336">
        <v>403</v>
      </c>
      <c r="G336">
        <v>0.9305210918114144</v>
      </c>
      <c r="H336">
        <v>13594</v>
      </c>
      <c r="I336">
        <v>21878</v>
      </c>
      <c r="J336">
        <v>13594</v>
      </c>
      <c r="K336">
        <v>0.98543882697876328</v>
      </c>
      <c r="L336">
        <f t="shared" ca="1" si="41"/>
        <v>233.01412500000001</v>
      </c>
      <c r="M336">
        <f t="shared" si="41"/>
        <v>250.41251299999999</v>
      </c>
      <c r="N336">
        <v>13594</v>
      </c>
      <c r="O336">
        <f t="shared" ca="1" si="38"/>
        <v>0.9305210918114144</v>
      </c>
    </row>
    <row r="337" spans="1:15" x14ac:dyDescent="0.2">
      <c r="A337" t="str">
        <f ca="1">IFERROR(__xludf.DUMMYFUNCTION("""COMPUTED_VALUE"""),"km")</f>
        <v>km</v>
      </c>
      <c r="B337" t="str">
        <f ca="1">IFERROR(__xludf.DUMMYFUNCTION("""COMPUTED_VALUE"""),"Model S 70D")</f>
        <v>Model S 70D</v>
      </c>
      <c r="D337">
        <f ca="1">IFERROR(__xludf.DUMMYFUNCTION("""COMPUTED_VALUE"""),114250)</f>
        <v>114250</v>
      </c>
      <c r="E337">
        <f ca="1">IFERROR(__xludf.DUMMYFUNCTION("""COMPUTED_VALUE"""),335)</f>
        <v>335</v>
      </c>
      <c r="F337">
        <v>360</v>
      </c>
      <c r="G337">
        <v>0.93055555555555558</v>
      </c>
      <c r="H337">
        <v>70992</v>
      </c>
      <c r="I337">
        <v>114250</v>
      </c>
      <c r="J337">
        <v>70992</v>
      </c>
      <c r="K337">
        <v>0.93390554728048736</v>
      </c>
      <c r="L337">
        <f t="shared" ca="1" si="41"/>
        <v>208.15928500000001</v>
      </c>
      <c r="M337">
        <f t="shared" si="41"/>
        <v>223.69355999999999</v>
      </c>
      <c r="N337">
        <v>70992</v>
      </c>
      <c r="O337">
        <f t="shared" ca="1" si="38"/>
        <v>0.93055555555555569</v>
      </c>
    </row>
    <row r="338" spans="1:15" x14ac:dyDescent="0.2">
      <c r="A338" t="str">
        <f ca="1">IFERROR(__xludf.DUMMYFUNCTION("""COMPUTED_VALUE"""),"km")</f>
        <v>km</v>
      </c>
      <c r="B338" t="str">
        <f ca="1">IFERROR(__xludf.DUMMYFUNCTION("""COMPUTED_VALUE"""),"Model S 70D")</f>
        <v>Model S 70D</v>
      </c>
      <c r="C338">
        <f ca="1">IFERROR(__xludf.DUMMYFUNCTION("""COMPUTED_VALUE"""),365)</f>
        <v>365</v>
      </c>
      <c r="D338">
        <f ca="1">IFERROR(__xludf.DUMMYFUNCTION("""COMPUTED_VALUE"""),219000)</f>
        <v>219000</v>
      </c>
      <c r="E338">
        <f ca="1">IFERROR(__xludf.DUMMYFUNCTION("""COMPUTED_VALUE"""),335)</f>
        <v>335</v>
      </c>
      <c r="F338">
        <v>360</v>
      </c>
      <c r="G338">
        <v>0.93055555555555558</v>
      </c>
      <c r="H338">
        <v>136080</v>
      </c>
      <c r="I338">
        <v>219000</v>
      </c>
      <c r="J338">
        <v>136080</v>
      </c>
      <c r="K338">
        <v>0.89662200484915888</v>
      </c>
      <c r="L338">
        <f t="shared" ca="1" si="41"/>
        <v>208.15928500000001</v>
      </c>
      <c r="M338">
        <f t="shared" si="41"/>
        <v>223.69355999999999</v>
      </c>
      <c r="N338">
        <v>136080</v>
      </c>
      <c r="O338">
        <f t="shared" ca="1" si="38"/>
        <v>0.93055555555555569</v>
      </c>
    </row>
    <row r="339" spans="1:15" x14ac:dyDescent="0.2">
      <c r="A339" t="str">
        <f ca="1">IFERROR(__xludf.DUMMYFUNCTION("""COMPUTED_VALUE"""),"mi")</f>
        <v>mi</v>
      </c>
      <c r="B339" t="str">
        <f ca="1">IFERROR(__xludf.DUMMYFUNCTION("""COMPUTED_VALUE"""),"Model S 85")</f>
        <v>Model S 85</v>
      </c>
      <c r="D339">
        <f ca="1">IFERROR(__xludf.DUMMYFUNCTION("""COMPUTED_VALUE"""),72094)</f>
        <v>72094</v>
      </c>
      <c r="E339">
        <f ca="1">IFERROR(__xludf.DUMMYFUNCTION("""COMPUTED_VALUE"""),228)</f>
        <v>228</v>
      </c>
      <c r="F339">
        <v>245</v>
      </c>
      <c r="G339">
        <v>0.93061224489795913</v>
      </c>
      <c r="H339">
        <v>72094</v>
      </c>
      <c r="I339">
        <v>116024</v>
      </c>
      <c r="J339">
        <v>72094</v>
      </c>
      <c r="K339">
        <v>0.93308030569336142</v>
      </c>
      <c r="L339">
        <f ca="1">IFERROR(__xludf.DUMMYFUNCTION("""COMPUTED_VALUE"""),228)</f>
        <v>228</v>
      </c>
      <c r="M339">
        <v>245</v>
      </c>
      <c r="N339">
        <v>72094</v>
      </c>
      <c r="O339">
        <f t="shared" ca="1" si="38"/>
        <v>0.93061224489795913</v>
      </c>
    </row>
    <row r="340" spans="1:15" x14ac:dyDescent="0.2">
      <c r="A340" t="str">
        <f ca="1">IFERROR(__xludf.DUMMYFUNCTION("""COMPUTED_VALUE"""),"km")</f>
        <v>km</v>
      </c>
      <c r="B340" t="str">
        <f ca="1">IFERROR(__xludf.DUMMYFUNCTION("""COMPUTED_VALUE"""),"Model X 100D")</f>
        <v>Model X 100D</v>
      </c>
      <c r="D340">
        <f ca="1">IFERROR(__xludf.DUMMYFUNCTION("""COMPUTED_VALUE"""),100744)</f>
        <v>100744</v>
      </c>
      <c r="E340">
        <f ca="1">IFERROR(__xludf.DUMMYFUNCTION("""COMPUTED_VALUE"""),417)</f>
        <v>417</v>
      </c>
      <c r="F340">
        <v>448</v>
      </c>
      <c r="G340">
        <v>0.9308035714285714</v>
      </c>
      <c r="H340">
        <v>62599</v>
      </c>
      <c r="I340">
        <v>100744</v>
      </c>
      <c r="J340">
        <v>62599</v>
      </c>
      <c r="K340">
        <v>0.94039766032895034</v>
      </c>
      <c r="L340">
        <f ca="1">E340*0.621371</f>
        <v>259.11170700000002</v>
      </c>
      <c r="M340">
        <f>F340*0.621371</f>
        <v>278.37420800000001</v>
      </c>
      <c r="N340">
        <v>62599</v>
      </c>
      <c r="O340">
        <f t="shared" ca="1" si="38"/>
        <v>0.93080357142857151</v>
      </c>
    </row>
    <row r="341" spans="1:15" x14ac:dyDescent="0.2">
      <c r="A341" t="str">
        <f ca="1">IFERROR(__xludf.DUMMYFUNCTION("""COMPUTED_VALUE"""),"mi")</f>
        <v>mi</v>
      </c>
      <c r="B341" t="str">
        <f ca="1">IFERROR(__xludf.DUMMYFUNCTION("""COMPUTED_VALUE"""),"Model S 75")</f>
        <v>Model S 75</v>
      </c>
      <c r="C341">
        <f ca="1">IFERROR(__xludf.DUMMYFUNCTION("""COMPUTED_VALUE"""),248)</f>
        <v>248</v>
      </c>
      <c r="D341">
        <f ca="1">IFERROR(__xludf.DUMMYFUNCTION("""COMPUTED_VALUE"""),33000)</f>
        <v>33000</v>
      </c>
      <c r="E341">
        <f ca="1">IFERROR(__xludf.DUMMYFUNCTION("""COMPUTED_VALUE"""),229)</f>
        <v>229</v>
      </c>
      <c r="F341">
        <v>246</v>
      </c>
      <c r="G341">
        <v>0.93089430894308944</v>
      </c>
      <c r="H341">
        <v>33000</v>
      </c>
      <c r="I341">
        <v>53108</v>
      </c>
      <c r="J341">
        <v>33000</v>
      </c>
      <c r="K341">
        <v>0.96618016951958086</v>
      </c>
      <c r="L341">
        <f ca="1">IFERROR(__xludf.DUMMYFUNCTION("""COMPUTED_VALUE"""),229)</f>
        <v>229</v>
      </c>
      <c r="M341">
        <v>246</v>
      </c>
      <c r="N341">
        <v>33000</v>
      </c>
      <c r="O341">
        <f t="shared" ca="1" si="38"/>
        <v>0.93089430894308944</v>
      </c>
    </row>
    <row r="342" spans="1:15" x14ac:dyDescent="0.2">
      <c r="A342" t="str">
        <f ca="1">IFERROR(__xludf.DUMMYFUNCTION("""COMPUTED_VALUE"""),"mi")</f>
        <v>mi</v>
      </c>
      <c r="B342" t="str">
        <f ca="1">IFERROR(__xludf.DUMMYFUNCTION("""COMPUTED_VALUE"""),"Model X 100D")</f>
        <v>Model X 100D</v>
      </c>
      <c r="D342">
        <f ca="1">IFERROR(__xludf.DUMMYFUNCTION("""COMPUTED_VALUE"""),47000)</f>
        <v>47000</v>
      </c>
      <c r="E342">
        <f ca="1">IFERROR(__xludf.DUMMYFUNCTION("""COMPUTED_VALUE"""),272)</f>
        <v>272</v>
      </c>
      <c r="F342">
        <v>292</v>
      </c>
      <c r="G342">
        <v>0.93150684931506844</v>
      </c>
      <c r="H342">
        <v>47000</v>
      </c>
      <c r="I342">
        <v>75639</v>
      </c>
      <c r="J342">
        <v>47000</v>
      </c>
      <c r="K342">
        <v>0.95343342160985223</v>
      </c>
      <c r="L342">
        <f ca="1">IFERROR(__xludf.DUMMYFUNCTION("""COMPUTED_VALUE"""),272)</f>
        <v>272</v>
      </c>
      <c r="M342">
        <v>292</v>
      </c>
      <c r="N342">
        <v>47000</v>
      </c>
      <c r="O342">
        <f t="shared" ca="1" si="38"/>
        <v>0.93150684931506844</v>
      </c>
    </row>
    <row r="343" spans="1:15" x14ac:dyDescent="0.2">
      <c r="A343" t="str">
        <f ca="1">IFERROR(__xludf.DUMMYFUNCTION("""COMPUTED_VALUE"""),"mi")</f>
        <v>mi</v>
      </c>
      <c r="B343" t="str">
        <f ca="1">IFERROR(__xludf.DUMMYFUNCTION("""COMPUTED_VALUE"""),"Model S 90D")</f>
        <v>Model S 90D</v>
      </c>
      <c r="C343">
        <f ca="1">IFERROR(__xludf.DUMMYFUNCTION("""COMPUTED_VALUE"""),294)</f>
        <v>294</v>
      </c>
      <c r="D343">
        <f ca="1">IFERROR(__xludf.DUMMYFUNCTION("""COMPUTED_VALUE"""),46000)</f>
        <v>46000</v>
      </c>
      <c r="E343">
        <f ca="1">IFERROR(__xludf.DUMMYFUNCTION("""COMPUTED_VALUE"""),272)</f>
        <v>272</v>
      </c>
      <c r="F343">
        <v>292</v>
      </c>
      <c r="G343">
        <v>0.93150684931506844</v>
      </c>
      <c r="H343">
        <v>46000</v>
      </c>
      <c r="I343">
        <v>74030</v>
      </c>
      <c r="J343">
        <v>46000</v>
      </c>
      <c r="K343">
        <v>0.95431117767367346</v>
      </c>
      <c r="L343">
        <f ca="1">IFERROR(__xludf.DUMMYFUNCTION("""COMPUTED_VALUE"""),272)</f>
        <v>272</v>
      </c>
      <c r="M343">
        <v>292</v>
      </c>
      <c r="N343">
        <v>46000</v>
      </c>
      <c r="O343">
        <f t="shared" ca="1" si="38"/>
        <v>0.93150684931506844</v>
      </c>
    </row>
    <row r="344" spans="1:15" x14ac:dyDescent="0.2">
      <c r="A344" t="str">
        <f ca="1">IFERROR(__xludf.DUMMYFUNCTION("""COMPUTED_VALUE"""),"km")</f>
        <v>km</v>
      </c>
      <c r="B344" t="str">
        <f ca="1">IFERROR(__xludf.DUMMYFUNCTION("""COMPUTED_VALUE"""),"Model S 85")</f>
        <v>Model S 85</v>
      </c>
      <c r="C344">
        <f ca="1">IFERROR(__xludf.DUMMYFUNCTION("""COMPUTED_VALUE"""),388)</f>
        <v>388</v>
      </c>
      <c r="D344">
        <f ca="1">IFERROR(__xludf.DUMMYFUNCTION("""COMPUTED_VALUE"""),178822)</f>
        <v>178822</v>
      </c>
      <c r="E344">
        <f ca="1">IFERROR(__xludf.DUMMYFUNCTION("""COMPUTED_VALUE"""),368)</f>
        <v>368</v>
      </c>
      <c r="F344">
        <v>395</v>
      </c>
      <c r="G344">
        <v>0.93164556962025313</v>
      </c>
      <c r="H344">
        <v>111115</v>
      </c>
      <c r="I344">
        <v>178822</v>
      </c>
      <c r="J344">
        <v>111115</v>
      </c>
      <c r="K344">
        <v>0.90810391639930055</v>
      </c>
      <c r="L344">
        <f t="shared" ref="L344:L359" ca="1" si="42">E344*0.621371</f>
        <v>228.66452799999999</v>
      </c>
      <c r="M344">
        <f t="shared" ref="M344:M359" si="43">F344*0.621371</f>
        <v>245.44154499999999</v>
      </c>
      <c r="N344">
        <v>111115</v>
      </c>
      <c r="O344">
        <f t="shared" ca="1" si="38"/>
        <v>0.93164556962025313</v>
      </c>
    </row>
    <row r="345" spans="1:15" x14ac:dyDescent="0.2">
      <c r="A345" t="str">
        <f ca="1">IFERROR(__xludf.DUMMYFUNCTION("""COMPUTED_VALUE"""),"km")</f>
        <v>km</v>
      </c>
      <c r="B345" t="str">
        <f ca="1">IFERROR(__xludf.DUMMYFUNCTION("""COMPUTED_VALUE"""),"Model S 85")</f>
        <v>Model S 85</v>
      </c>
      <c r="C345">
        <f ca="1">IFERROR(__xludf.DUMMYFUNCTION("""COMPUTED_VALUE"""),398)</f>
        <v>398</v>
      </c>
      <c r="D345">
        <f ca="1">IFERROR(__xludf.DUMMYFUNCTION("""COMPUTED_VALUE"""),228132)</f>
        <v>228132</v>
      </c>
      <c r="E345">
        <f ca="1">IFERROR(__xludf.DUMMYFUNCTION("""COMPUTED_VALUE"""),368)</f>
        <v>368</v>
      </c>
      <c r="F345">
        <v>395</v>
      </c>
      <c r="G345">
        <v>0.93164556962025313</v>
      </c>
      <c r="H345">
        <v>141755</v>
      </c>
      <c r="I345">
        <v>228132</v>
      </c>
      <c r="J345">
        <v>141755</v>
      </c>
      <c r="K345">
        <v>0.89452294416777522</v>
      </c>
      <c r="L345">
        <f t="shared" ca="1" si="42"/>
        <v>228.66452799999999</v>
      </c>
      <c r="M345">
        <f t="shared" si="43"/>
        <v>245.44154499999999</v>
      </c>
      <c r="N345">
        <v>141755</v>
      </c>
      <c r="O345">
        <f t="shared" ca="1" si="38"/>
        <v>0.93164556962025313</v>
      </c>
    </row>
    <row r="346" spans="1:15" x14ac:dyDescent="0.2">
      <c r="A346" t="str">
        <f ca="1">IFERROR(__xludf.DUMMYFUNCTION("""COMPUTED_VALUE"""),"km")</f>
        <v>km</v>
      </c>
      <c r="B346" t="str">
        <f ca="1">IFERROR(__xludf.DUMMYFUNCTION("""COMPUTED_VALUE"""),"Model S 85")</f>
        <v>Model S 85</v>
      </c>
      <c r="D346">
        <f ca="1">IFERROR(__xludf.DUMMYFUNCTION("""COMPUTED_VALUE"""),157267)</f>
        <v>157267</v>
      </c>
      <c r="E346">
        <f ca="1">IFERROR(__xludf.DUMMYFUNCTION("""COMPUTED_VALUE"""),368)</f>
        <v>368</v>
      </c>
      <c r="F346">
        <v>395</v>
      </c>
      <c r="G346">
        <v>0.93164556962025313</v>
      </c>
      <c r="H346">
        <v>97721</v>
      </c>
      <c r="I346">
        <v>157267</v>
      </c>
      <c r="J346">
        <v>97721</v>
      </c>
      <c r="K346">
        <v>0.91573292076566137</v>
      </c>
      <c r="L346">
        <f t="shared" ca="1" si="42"/>
        <v>228.66452799999999</v>
      </c>
      <c r="M346">
        <f t="shared" si="43"/>
        <v>245.44154499999999</v>
      </c>
      <c r="N346">
        <v>97721</v>
      </c>
      <c r="O346">
        <f t="shared" ca="1" si="38"/>
        <v>0.93164556962025313</v>
      </c>
    </row>
    <row r="347" spans="1:15" x14ac:dyDescent="0.2">
      <c r="A347" t="str">
        <f ca="1">IFERROR(__xludf.DUMMYFUNCTION("""COMPUTED_VALUE"""),"km")</f>
        <v>km</v>
      </c>
      <c r="B347" t="str">
        <f ca="1">IFERROR(__xludf.DUMMYFUNCTION("""COMPUTED_VALUE"""),"Model S P85")</f>
        <v>Model S P85</v>
      </c>
      <c r="D347">
        <f ca="1">IFERROR(__xludf.DUMMYFUNCTION("""COMPUTED_VALUE"""),164858)</f>
        <v>164858</v>
      </c>
      <c r="E347">
        <f ca="1">IFERROR(__xludf.DUMMYFUNCTION("""COMPUTED_VALUE"""),368)</f>
        <v>368</v>
      </c>
      <c r="F347">
        <v>395</v>
      </c>
      <c r="G347">
        <v>0.93164556962025313</v>
      </c>
      <c r="H347">
        <v>102438</v>
      </c>
      <c r="I347">
        <v>164858</v>
      </c>
      <c r="J347">
        <v>102438</v>
      </c>
      <c r="K347">
        <v>0.91293157763345334</v>
      </c>
      <c r="L347">
        <f t="shared" ca="1" si="42"/>
        <v>228.66452799999999</v>
      </c>
      <c r="M347">
        <f t="shared" si="43"/>
        <v>245.44154499999999</v>
      </c>
      <c r="N347">
        <v>102438</v>
      </c>
      <c r="O347">
        <f t="shared" ca="1" si="38"/>
        <v>0.93164556962025313</v>
      </c>
    </row>
    <row r="348" spans="1:15" x14ac:dyDescent="0.2">
      <c r="A348" t="str">
        <f ca="1">IFERROR(__xludf.DUMMYFUNCTION("""COMPUTED_VALUE"""),"km")</f>
        <v>km</v>
      </c>
      <c r="B348" t="str">
        <f ca="1">IFERROR(__xludf.DUMMYFUNCTION("""COMPUTED_VALUE"""),"Model S 85")</f>
        <v>Model S 85</v>
      </c>
      <c r="C348">
        <f ca="1">IFERROR(__xludf.DUMMYFUNCTION("""COMPUTED_VALUE"""),392)</f>
        <v>392</v>
      </c>
      <c r="D348">
        <f ca="1">IFERROR(__xludf.DUMMYFUNCTION("""COMPUTED_VALUE"""),158400)</f>
        <v>158400</v>
      </c>
      <c r="E348">
        <f ca="1">IFERROR(__xludf.DUMMYFUNCTION("""COMPUTED_VALUE"""),368)</f>
        <v>368</v>
      </c>
      <c r="F348">
        <v>395</v>
      </c>
      <c r="G348">
        <v>0.93164556962025313</v>
      </c>
      <c r="H348">
        <v>98425</v>
      </c>
      <c r="I348">
        <v>158400</v>
      </c>
      <c r="J348">
        <v>98425</v>
      </c>
      <c r="K348">
        <v>0.91530695173235621</v>
      </c>
      <c r="L348">
        <f t="shared" ca="1" si="42"/>
        <v>228.66452799999999</v>
      </c>
      <c r="M348">
        <f t="shared" si="43"/>
        <v>245.44154499999999</v>
      </c>
      <c r="N348">
        <v>98425</v>
      </c>
      <c r="O348">
        <f t="shared" ca="1" si="38"/>
        <v>0.93164556962025313</v>
      </c>
    </row>
    <row r="349" spans="1:15" x14ac:dyDescent="0.2">
      <c r="A349" t="str">
        <f ca="1">IFERROR(__xludf.DUMMYFUNCTION("""COMPUTED_VALUE"""),"km")</f>
        <v>km</v>
      </c>
      <c r="B349" t="str">
        <f ca="1">IFERROR(__xludf.DUMMYFUNCTION("""COMPUTED_VALUE"""),"Model S 85")</f>
        <v>Model S 85</v>
      </c>
      <c r="D349">
        <f ca="1">IFERROR(__xludf.DUMMYFUNCTION("""COMPUTED_VALUE"""),176157)</f>
        <v>176157</v>
      </c>
      <c r="E349">
        <f ca="1">IFERROR(__xludf.DUMMYFUNCTION("""COMPUTED_VALUE"""),368)</f>
        <v>368</v>
      </c>
      <c r="F349">
        <v>395</v>
      </c>
      <c r="G349">
        <v>0.93164556962025313</v>
      </c>
      <c r="H349">
        <v>109459</v>
      </c>
      <c r="I349">
        <v>176157</v>
      </c>
      <c r="J349">
        <v>109459</v>
      </c>
      <c r="K349">
        <v>0.90899246444463389</v>
      </c>
      <c r="L349">
        <f t="shared" ca="1" si="42"/>
        <v>228.66452799999999</v>
      </c>
      <c r="M349">
        <f t="shared" si="43"/>
        <v>245.44154499999999</v>
      </c>
      <c r="N349">
        <v>109459</v>
      </c>
      <c r="O349">
        <f t="shared" ca="1" si="38"/>
        <v>0.93164556962025313</v>
      </c>
    </row>
    <row r="350" spans="1:15" x14ac:dyDescent="0.2">
      <c r="A350" t="str">
        <f ca="1">IFERROR(__xludf.DUMMYFUNCTION("""COMPUTED_VALUE"""),"km")</f>
        <v>km</v>
      </c>
      <c r="B350" t="str">
        <f ca="1">IFERROR(__xludf.DUMMYFUNCTION("""COMPUTED_VALUE"""),"Model S 85")</f>
        <v>Model S 85</v>
      </c>
      <c r="D350">
        <f ca="1">IFERROR(__xludf.DUMMYFUNCTION("""COMPUTED_VALUE"""),135000)</f>
        <v>135000</v>
      </c>
      <c r="E350">
        <f ca="1">IFERROR(__xludf.DUMMYFUNCTION("""COMPUTED_VALUE"""),368)</f>
        <v>368</v>
      </c>
      <c r="F350">
        <v>395</v>
      </c>
      <c r="G350">
        <v>0.93164556962025313</v>
      </c>
      <c r="H350">
        <v>83885</v>
      </c>
      <c r="I350">
        <v>135000</v>
      </c>
      <c r="J350">
        <v>83885</v>
      </c>
      <c r="K350">
        <v>0.92465746864889564</v>
      </c>
      <c r="L350">
        <f t="shared" ca="1" si="42"/>
        <v>228.66452799999999</v>
      </c>
      <c r="M350">
        <f t="shared" si="43"/>
        <v>245.44154499999999</v>
      </c>
      <c r="N350">
        <v>83885</v>
      </c>
      <c r="O350">
        <f t="shared" ca="1" si="38"/>
        <v>0.93164556962025313</v>
      </c>
    </row>
    <row r="351" spans="1:15" x14ac:dyDescent="0.2">
      <c r="A351" t="str">
        <f ca="1">IFERROR(__xludf.DUMMYFUNCTION("""COMPUTED_VALUE"""),"km")</f>
        <v>km</v>
      </c>
      <c r="B351" t="str">
        <f ca="1">IFERROR(__xludf.DUMMYFUNCTION("""COMPUTED_VALUE"""),"Model S 85")</f>
        <v>Model S 85</v>
      </c>
      <c r="C351">
        <f ca="1">IFERROR(__xludf.DUMMYFUNCTION("""COMPUTED_VALUE"""),399)</f>
        <v>399</v>
      </c>
      <c r="D351">
        <f ca="1">IFERROR(__xludf.DUMMYFUNCTION("""COMPUTED_VALUE"""),92560.2733704338)</f>
        <v>92560.273370433802</v>
      </c>
      <c r="E351">
        <f ca="1">IFERROR(__xludf.DUMMYFUNCTION("""COMPUTED_VALUE"""),368)</f>
        <v>368</v>
      </c>
      <c r="F351">
        <v>395</v>
      </c>
      <c r="G351">
        <v>0.93164556962025313</v>
      </c>
      <c r="H351">
        <v>57514</v>
      </c>
      <c r="I351">
        <v>92560.273370433802</v>
      </c>
      <c r="J351">
        <v>57514</v>
      </c>
      <c r="K351">
        <v>0.94450987348094206</v>
      </c>
      <c r="L351">
        <f t="shared" ca="1" si="42"/>
        <v>228.66452799999999</v>
      </c>
      <c r="M351">
        <f t="shared" si="43"/>
        <v>245.44154499999999</v>
      </c>
      <c r="N351">
        <v>57514</v>
      </c>
      <c r="O351">
        <f t="shared" ca="1" si="38"/>
        <v>0.93164556962025313</v>
      </c>
    </row>
    <row r="352" spans="1:15" x14ac:dyDescent="0.2">
      <c r="A352" t="str">
        <f ca="1">IFERROR(__xludf.DUMMYFUNCTION("""COMPUTED_VALUE"""),"km")</f>
        <v>km</v>
      </c>
      <c r="B352" t="str">
        <f ca="1">IFERROR(__xludf.DUMMYFUNCTION("""COMPUTED_VALUE"""),"Model S 85")</f>
        <v>Model S 85</v>
      </c>
      <c r="D352">
        <f ca="1">IFERROR(__xludf.DUMMYFUNCTION("""COMPUTED_VALUE"""),117000)</f>
        <v>117000</v>
      </c>
      <c r="E352">
        <f ca="1">IFERROR(__xludf.DUMMYFUNCTION("""COMPUTED_VALUE"""),368)</f>
        <v>368</v>
      </c>
      <c r="F352">
        <v>395</v>
      </c>
      <c r="G352">
        <v>0.93164556962025313</v>
      </c>
      <c r="H352">
        <v>72700</v>
      </c>
      <c r="I352">
        <v>117000</v>
      </c>
      <c r="J352">
        <v>72700</v>
      </c>
      <c r="K352">
        <v>0.93262902210833354</v>
      </c>
      <c r="L352">
        <f t="shared" ca="1" si="42"/>
        <v>228.66452799999999</v>
      </c>
      <c r="M352">
        <f t="shared" si="43"/>
        <v>245.44154499999999</v>
      </c>
      <c r="N352">
        <v>72700</v>
      </c>
      <c r="O352">
        <f t="shared" ca="1" si="38"/>
        <v>0.93164556962025313</v>
      </c>
    </row>
    <row r="353" spans="1:15" x14ac:dyDescent="0.2">
      <c r="A353" t="str">
        <f ca="1">IFERROR(__xludf.DUMMYFUNCTION("""COMPUTED_VALUE"""),"km")</f>
        <v>km</v>
      </c>
      <c r="B353" t="str">
        <f ca="1">IFERROR(__xludf.DUMMYFUNCTION("""COMPUTED_VALUE"""),"Model S 85")</f>
        <v>Model S 85</v>
      </c>
      <c r="D353">
        <f ca="1">IFERROR(__xludf.DUMMYFUNCTION("""COMPUTED_VALUE"""),93906)</f>
        <v>93906</v>
      </c>
      <c r="E353">
        <f ca="1">IFERROR(__xludf.DUMMYFUNCTION("""COMPUTED_VALUE"""),368)</f>
        <v>368</v>
      </c>
      <c r="F353">
        <v>395</v>
      </c>
      <c r="G353">
        <v>0.93164556962025313</v>
      </c>
      <c r="H353">
        <v>58350</v>
      </c>
      <c r="I353">
        <v>93906</v>
      </c>
      <c r="J353">
        <v>58350</v>
      </c>
      <c r="K353">
        <v>0.94382448476094771</v>
      </c>
      <c r="L353">
        <f t="shared" ca="1" si="42"/>
        <v>228.66452799999999</v>
      </c>
      <c r="M353">
        <f t="shared" si="43"/>
        <v>245.44154499999999</v>
      </c>
      <c r="N353">
        <v>58350</v>
      </c>
      <c r="O353">
        <f t="shared" ca="1" si="38"/>
        <v>0.93164556962025313</v>
      </c>
    </row>
    <row r="354" spans="1:15" x14ac:dyDescent="0.2">
      <c r="A354" t="str">
        <f ca="1">IFERROR(__xludf.DUMMYFUNCTION("""COMPUTED_VALUE"""),"km")</f>
        <v>km</v>
      </c>
      <c r="B354" t="str">
        <f ca="1">IFERROR(__xludf.DUMMYFUNCTION("""COMPUTED_VALUE"""),"Model S 85")</f>
        <v>Model S 85</v>
      </c>
      <c r="D354">
        <f ca="1">IFERROR(__xludf.DUMMYFUNCTION("""COMPUTED_VALUE"""),106023)</f>
        <v>106023</v>
      </c>
      <c r="E354">
        <f ca="1">IFERROR(__xludf.DUMMYFUNCTION("""COMPUTED_VALUE"""),368)</f>
        <v>368</v>
      </c>
      <c r="F354">
        <v>395</v>
      </c>
      <c r="G354">
        <v>0.93164556962025313</v>
      </c>
      <c r="H354">
        <v>65880</v>
      </c>
      <c r="I354">
        <v>106023</v>
      </c>
      <c r="J354">
        <v>65880</v>
      </c>
      <c r="K354">
        <v>0.93781625168182747</v>
      </c>
      <c r="L354">
        <f t="shared" ca="1" si="42"/>
        <v>228.66452799999999</v>
      </c>
      <c r="M354">
        <f t="shared" si="43"/>
        <v>245.44154499999999</v>
      </c>
      <c r="N354">
        <v>65880</v>
      </c>
      <c r="O354">
        <f t="shared" ca="1" si="38"/>
        <v>0.93164556962025313</v>
      </c>
    </row>
    <row r="355" spans="1:15" x14ac:dyDescent="0.2">
      <c r="A355" t="str">
        <f ca="1">IFERROR(__xludf.DUMMYFUNCTION("""COMPUTED_VALUE"""),"km")</f>
        <v>km</v>
      </c>
      <c r="B355" t="str">
        <f ca="1">IFERROR(__xludf.DUMMYFUNCTION("""COMPUTED_VALUE"""),"Model S P85+")</f>
        <v>Model S P85+</v>
      </c>
      <c r="D355">
        <f ca="1">IFERROR(__xludf.DUMMYFUNCTION("""COMPUTED_VALUE"""),74000)</f>
        <v>74000</v>
      </c>
      <c r="E355">
        <f ca="1">IFERROR(__xludf.DUMMYFUNCTION("""COMPUTED_VALUE"""),368)</f>
        <v>368</v>
      </c>
      <c r="F355">
        <v>395</v>
      </c>
      <c r="G355">
        <v>0.93164556962025313</v>
      </c>
      <c r="H355">
        <v>45981</v>
      </c>
      <c r="I355">
        <v>74000</v>
      </c>
      <c r="J355">
        <v>45981</v>
      </c>
      <c r="K355">
        <v>0.95432759142357759</v>
      </c>
      <c r="L355">
        <f t="shared" ca="1" si="42"/>
        <v>228.66452799999999</v>
      </c>
      <c r="M355">
        <f t="shared" si="43"/>
        <v>245.44154499999999</v>
      </c>
      <c r="N355">
        <v>45981</v>
      </c>
      <c r="O355">
        <f t="shared" ca="1" si="38"/>
        <v>0.93164556962025313</v>
      </c>
    </row>
    <row r="356" spans="1:15" x14ac:dyDescent="0.2">
      <c r="A356" t="str">
        <f ca="1">IFERROR(__xludf.DUMMYFUNCTION("""COMPUTED_VALUE"""),"km")</f>
        <v>km</v>
      </c>
      <c r="B356" t="str">
        <f ca="1">IFERROR(__xludf.DUMMYFUNCTION("""COMPUTED_VALUE"""),"Model S P85")</f>
        <v>Model S P85</v>
      </c>
      <c r="C356">
        <f ca="1">IFERROR(__xludf.DUMMYFUNCTION("""COMPUTED_VALUE"""),393)</f>
        <v>393</v>
      </c>
      <c r="D356">
        <f ca="1">IFERROR(__xludf.DUMMYFUNCTION("""COMPUTED_VALUE"""),100000)</f>
        <v>100000</v>
      </c>
      <c r="E356">
        <f ca="1">IFERROR(__xludf.DUMMYFUNCTION("""COMPUTED_VALUE"""),368)</f>
        <v>368</v>
      </c>
      <c r="F356">
        <v>395</v>
      </c>
      <c r="G356">
        <v>0.93164556962025313</v>
      </c>
      <c r="H356">
        <v>62137</v>
      </c>
      <c r="I356">
        <v>100000</v>
      </c>
      <c r="J356">
        <v>62137</v>
      </c>
      <c r="K356">
        <v>0.94076597629758174</v>
      </c>
      <c r="L356">
        <f t="shared" ca="1" si="42"/>
        <v>228.66452799999999</v>
      </c>
      <c r="M356">
        <f t="shared" si="43"/>
        <v>245.44154499999999</v>
      </c>
      <c r="N356">
        <v>62137</v>
      </c>
      <c r="O356">
        <f t="shared" ca="1" si="38"/>
        <v>0.93164556962025313</v>
      </c>
    </row>
    <row r="357" spans="1:15" x14ac:dyDescent="0.2">
      <c r="A357" t="str">
        <f ca="1">IFERROR(__xludf.DUMMYFUNCTION("""COMPUTED_VALUE"""),"km")</f>
        <v>km</v>
      </c>
      <c r="B357" t="str">
        <f ca="1">IFERROR(__xludf.DUMMYFUNCTION("""COMPUTED_VALUE"""),"Model S 85")</f>
        <v>Model S 85</v>
      </c>
      <c r="D357">
        <f ca="1">IFERROR(__xludf.DUMMYFUNCTION("""COMPUTED_VALUE"""),36743)</f>
        <v>36743</v>
      </c>
      <c r="E357">
        <f ca="1">IFERROR(__xludf.DUMMYFUNCTION("""COMPUTED_VALUE"""),368)</f>
        <v>368</v>
      </c>
      <c r="F357">
        <v>395</v>
      </c>
      <c r="G357">
        <v>0.93164556962025313</v>
      </c>
      <c r="H357">
        <v>22831</v>
      </c>
      <c r="I357">
        <v>36743</v>
      </c>
      <c r="J357">
        <v>22831</v>
      </c>
      <c r="K357">
        <v>0.97604492994671244</v>
      </c>
      <c r="L357">
        <f t="shared" ca="1" si="42"/>
        <v>228.66452799999999</v>
      </c>
      <c r="M357">
        <f t="shared" si="43"/>
        <v>245.44154499999999</v>
      </c>
      <c r="N357">
        <v>22831</v>
      </c>
      <c r="O357">
        <f t="shared" ca="1" si="38"/>
        <v>0.93164556962025313</v>
      </c>
    </row>
    <row r="358" spans="1:15" x14ac:dyDescent="0.2">
      <c r="A358" t="str">
        <f ca="1">IFERROR(__xludf.DUMMYFUNCTION("""COMPUTED_VALUE"""),"km")</f>
        <v>km</v>
      </c>
      <c r="B358" t="str">
        <f ca="1">IFERROR(__xludf.DUMMYFUNCTION("""COMPUTED_VALUE"""),"Model S 85D")</f>
        <v>Model S 85D</v>
      </c>
      <c r="C358">
        <f ca="1">IFERROR(__xludf.DUMMYFUNCTION("""COMPUTED_VALUE"""),404)</f>
        <v>404</v>
      </c>
      <c r="D358">
        <f ca="1">IFERROR(__xludf.DUMMYFUNCTION("""COMPUTED_VALUE"""),14000)</f>
        <v>14000</v>
      </c>
      <c r="E358">
        <f ca="1">IFERROR(__xludf.DUMMYFUNCTION("""COMPUTED_VALUE"""),396)</f>
        <v>396</v>
      </c>
      <c r="F358">
        <v>425</v>
      </c>
      <c r="G358">
        <v>0.93176470588235294</v>
      </c>
      <c r="H358">
        <v>8699</v>
      </c>
      <c r="I358">
        <v>14000</v>
      </c>
      <c r="J358">
        <v>8699</v>
      </c>
      <c r="K358">
        <v>0.99058209154111365</v>
      </c>
      <c r="L358">
        <f t="shared" ca="1" si="42"/>
        <v>246.062916</v>
      </c>
      <c r="M358">
        <f t="shared" si="43"/>
        <v>264.08267499999999</v>
      </c>
      <c r="N358">
        <v>8699</v>
      </c>
      <c r="O358">
        <f t="shared" ca="1" si="38"/>
        <v>0.93176470588235294</v>
      </c>
    </row>
    <row r="359" spans="1:15" x14ac:dyDescent="0.2">
      <c r="A359" t="str">
        <f ca="1">IFERROR(__xludf.DUMMYFUNCTION("""COMPUTED_VALUE"""),"km")</f>
        <v>km</v>
      </c>
      <c r="B359" t="str">
        <f ca="1">IFERROR(__xludf.DUMMYFUNCTION("""COMPUTED_VALUE"""),"Model S 75D")</f>
        <v>Model S 75D</v>
      </c>
      <c r="C359">
        <f ca="1">IFERROR(__xludf.DUMMYFUNCTION("""COMPUTED_VALUE"""),382)</f>
        <v>382</v>
      </c>
      <c r="D359">
        <f ca="1">IFERROR(__xludf.DUMMYFUNCTION("""COMPUTED_VALUE"""),87768)</f>
        <v>87768</v>
      </c>
      <c r="E359">
        <f ca="1">IFERROR(__xludf.DUMMYFUNCTION("""COMPUTED_VALUE"""),358)</f>
        <v>358</v>
      </c>
      <c r="F359">
        <v>384</v>
      </c>
      <c r="G359">
        <v>0.93229166666666663</v>
      </c>
      <c r="H359">
        <v>54537</v>
      </c>
      <c r="I359">
        <v>87768</v>
      </c>
      <c r="J359">
        <v>54537</v>
      </c>
      <c r="K359">
        <v>0.94697981217712934</v>
      </c>
      <c r="L359">
        <f t="shared" ca="1" si="42"/>
        <v>222.450818</v>
      </c>
      <c r="M359">
        <f t="shared" si="43"/>
        <v>238.60646400000002</v>
      </c>
      <c r="N359">
        <v>54537</v>
      </c>
      <c r="O359">
        <f t="shared" ca="1" si="38"/>
        <v>0.93229166666666663</v>
      </c>
    </row>
    <row r="360" spans="1:15" x14ac:dyDescent="0.2">
      <c r="A360" t="str">
        <f ca="1">IFERROR(__xludf.DUMMYFUNCTION("""COMPUTED_VALUE"""),"mi")</f>
        <v>mi</v>
      </c>
      <c r="B360" t="str">
        <f ca="1">IFERROR(__xludf.DUMMYFUNCTION("""COMPUTED_VALUE"""),"Model S 85")</f>
        <v>Model S 85</v>
      </c>
      <c r="C360">
        <f ca="1">IFERROR(__xludf.DUMMYFUNCTION("""COMPUTED_VALUE"""),265)</f>
        <v>265</v>
      </c>
      <c r="D360">
        <f ca="1">IFERROR(__xludf.DUMMYFUNCTION("""COMPUTED_VALUE"""),111970)</f>
        <v>111970</v>
      </c>
      <c r="E360">
        <f ca="1">IFERROR(__xludf.DUMMYFUNCTION("""COMPUTED_VALUE"""),248)</f>
        <v>248</v>
      </c>
      <c r="F360">
        <v>266</v>
      </c>
      <c r="G360">
        <v>0.93233082706766912</v>
      </c>
      <c r="H360">
        <v>111970</v>
      </c>
      <c r="I360">
        <v>180198</v>
      </c>
      <c r="J360">
        <v>111970</v>
      </c>
      <c r="K360">
        <v>0.90765123108621171</v>
      </c>
      <c r="L360">
        <f ca="1">IFERROR(__xludf.DUMMYFUNCTION("""COMPUTED_VALUE"""),248)</f>
        <v>248</v>
      </c>
      <c r="M360">
        <v>266</v>
      </c>
      <c r="N360">
        <v>111970</v>
      </c>
      <c r="O360">
        <f t="shared" ca="1" si="38"/>
        <v>0.93233082706766912</v>
      </c>
    </row>
    <row r="361" spans="1:15" x14ac:dyDescent="0.2">
      <c r="A361" t="str">
        <f ca="1">IFERROR(__xludf.DUMMYFUNCTION("""COMPUTED_VALUE"""),"mi")</f>
        <v>mi</v>
      </c>
      <c r="B361" t="str">
        <f ca="1">IFERROR(__xludf.DUMMYFUNCTION("""COMPUTED_VALUE"""),"Model S 85")</f>
        <v>Model S 85</v>
      </c>
      <c r="C361">
        <f ca="1">IFERROR(__xludf.DUMMYFUNCTION("""COMPUTED_VALUE"""),271)</f>
        <v>271</v>
      </c>
      <c r="D361">
        <f ca="1">IFERROR(__xludf.DUMMYFUNCTION("""COMPUTED_VALUE"""),111400)</f>
        <v>111400</v>
      </c>
      <c r="E361">
        <f ca="1">IFERROR(__xludf.DUMMYFUNCTION("""COMPUTED_VALUE"""),248)</f>
        <v>248</v>
      </c>
      <c r="F361">
        <v>266</v>
      </c>
      <c r="G361">
        <v>0.93233082706766912</v>
      </c>
      <c r="H361">
        <v>111400</v>
      </c>
      <c r="I361">
        <v>179281</v>
      </c>
      <c r="J361">
        <v>111400</v>
      </c>
      <c r="K361">
        <v>0.90795244992928392</v>
      </c>
      <c r="L361">
        <f ca="1">IFERROR(__xludf.DUMMYFUNCTION("""COMPUTED_VALUE"""),248)</f>
        <v>248</v>
      </c>
      <c r="M361">
        <v>266</v>
      </c>
      <c r="N361">
        <v>111400</v>
      </c>
      <c r="O361">
        <f t="shared" ca="1" si="38"/>
        <v>0.93233082706766912</v>
      </c>
    </row>
    <row r="362" spans="1:15" x14ac:dyDescent="0.2">
      <c r="A362" t="str">
        <f ca="1">IFERROR(__xludf.DUMMYFUNCTION("""COMPUTED_VALUE"""),"mi")</f>
        <v>mi</v>
      </c>
      <c r="B362" t="str">
        <f ca="1">IFERROR(__xludf.DUMMYFUNCTION("""COMPUTED_VALUE"""),"Model S P85")</f>
        <v>Model S P85</v>
      </c>
      <c r="C362">
        <f ca="1">IFERROR(__xludf.DUMMYFUNCTION("""COMPUTED_VALUE"""),260)</f>
        <v>260</v>
      </c>
      <c r="D362">
        <f ca="1">IFERROR(__xludf.DUMMYFUNCTION("""COMPUTED_VALUE"""),79971)</f>
        <v>79971</v>
      </c>
      <c r="E362">
        <f ca="1">IFERROR(__xludf.DUMMYFUNCTION("""COMPUTED_VALUE"""),248)</f>
        <v>248</v>
      </c>
      <c r="F362">
        <v>266</v>
      </c>
      <c r="G362">
        <v>0.93233082706766912</v>
      </c>
      <c r="H362">
        <v>79971</v>
      </c>
      <c r="I362">
        <v>128701</v>
      </c>
      <c r="J362">
        <v>79971</v>
      </c>
      <c r="K362">
        <v>0.92737090069847716</v>
      </c>
      <c r="L362">
        <f ca="1">IFERROR(__xludf.DUMMYFUNCTION("""COMPUTED_VALUE"""),248)</f>
        <v>248</v>
      </c>
      <c r="M362">
        <v>266</v>
      </c>
      <c r="N362">
        <v>79971</v>
      </c>
      <c r="O362">
        <f t="shared" ca="1" si="38"/>
        <v>0.93233082706766912</v>
      </c>
    </row>
    <row r="363" spans="1:15" x14ac:dyDescent="0.2">
      <c r="A363" t="str">
        <f ca="1">IFERROR(__xludf.DUMMYFUNCTION("""COMPUTED_VALUE"""),"km")</f>
        <v>km</v>
      </c>
      <c r="B363" t="str">
        <f ca="1">IFERROR(__xludf.DUMMYFUNCTION("""COMPUTED_VALUE"""),"Model S 90D")</f>
        <v>Model S 90D</v>
      </c>
      <c r="D363">
        <f ca="1">IFERROR(__xludf.DUMMYFUNCTION("""COMPUTED_VALUE"""),127000)</f>
        <v>127000</v>
      </c>
      <c r="E363">
        <f ca="1">IFERROR(__xludf.DUMMYFUNCTION("""COMPUTED_VALUE"""),417)</f>
        <v>417</v>
      </c>
      <c r="F363">
        <v>447</v>
      </c>
      <c r="G363">
        <v>0.93288590604026844</v>
      </c>
      <c r="H363">
        <v>78914</v>
      </c>
      <c r="I363">
        <v>127000</v>
      </c>
      <c r="J363">
        <v>78914</v>
      </c>
      <c r="K363">
        <v>0.92811775984422396</v>
      </c>
      <c r="L363">
        <f t="shared" ref="L363:M369" ca="1" si="44">E363*0.621371</f>
        <v>259.11170700000002</v>
      </c>
      <c r="M363">
        <f t="shared" si="44"/>
        <v>277.752837</v>
      </c>
      <c r="N363">
        <v>78914</v>
      </c>
      <c r="O363">
        <f t="shared" ca="1" si="38"/>
        <v>0.93288590604026855</v>
      </c>
    </row>
    <row r="364" spans="1:15" x14ac:dyDescent="0.2">
      <c r="A364" t="str">
        <f ca="1">IFERROR(__xludf.DUMMYFUNCTION("""COMPUTED_VALUE"""),"km")</f>
        <v>km</v>
      </c>
      <c r="B364" t="str">
        <f ca="1">IFERROR(__xludf.DUMMYFUNCTION("""COMPUTED_VALUE"""),"Model S P85D")</f>
        <v>Model S P85D</v>
      </c>
      <c r="D364">
        <f ca="1">IFERROR(__xludf.DUMMYFUNCTION("""COMPUTED_VALUE"""),103691)</f>
        <v>103691</v>
      </c>
      <c r="E364">
        <f ca="1">IFERROR(__xludf.DUMMYFUNCTION("""COMPUTED_VALUE"""),376)</f>
        <v>376</v>
      </c>
      <c r="F364">
        <v>403</v>
      </c>
      <c r="G364">
        <v>0.9330024813895782</v>
      </c>
      <c r="H364">
        <v>64431</v>
      </c>
      <c r="I364">
        <v>103691</v>
      </c>
      <c r="J364">
        <v>64431</v>
      </c>
      <c r="K364">
        <v>0.93894967400204399</v>
      </c>
      <c r="L364">
        <f t="shared" ca="1" si="44"/>
        <v>233.63549599999999</v>
      </c>
      <c r="M364">
        <f t="shared" si="44"/>
        <v>250.41251299999999</v>
      </c>
      <c r="N364">
        <v>64431</v>
      </c>
      <c r="O364">
        <f t="shared" ca="1" si="38"/>
        <v>0.9330024813895782</v>
      </c>
    </row>
    <row r="365" spans="1:15" x14ac:dyDescent="0.2">
      <c r="A365" t="str">
        <f ca="1">IFERROR(__xludf.DUMMYFUNCTION("""COMPUTED_VALUE"""),"km")</f>
        <v>km</v>
      </c>
      <c r="B365" t="str">
        <f ca="1">IFERROR(__xludf.DUMMYFUNCTION("""COMPUTED_VALUE"""),"Model S P85D")</f>
        <v>Model S P85D</v>
      </c>
      <c r="D365">
        <f ca="1">IFERROR(__xludf.DUMMYFUNCTION("""COMPUTED_VALUE"""),112889)</f>
        <v>112889</v>
      </c>
      <c r="E365">
        <f ca="1">IFERROR(__xludf.DUMMYFUNCTION("""COMPUTED_VALUE"""),376)</f>
        <v>376</v>
      </c>
      <c r="F365">
        <v>403</v>
      </c>
      <c r="G365">
        <v>0.9330024813895782</v>
      </c>
      <c r="H365">
        <v>70146</v>
      </c>
      <c r="I365">
        <v>112889</v>
      </c>
      <c r="J365">
        <v>70146</v>
      </c>
      <c r="K365">
        <v>0.93454301382354499</v>
      </c>
      <c r="L365">
        <f t="shared" ca="1" si="44"/>
        <v>233.63549599999999</v>
      </c>
      <c r="M365">
        <f t="shared" si="44"/>
        <v>250.41251299999999</v>
      </c>
      <c r="N365">
        <v>70146</v>
      </c>
      <c r="O365">
        <f t="shared" ca="1" si="38"/>
        <v>0.9330024813895782</v>
      </c>
    </row>
    <row r="366" spans="1:15" x14ac:dyDescent="0.2">
      <c r="A366" t="str">
        <f ca="1">IFERROR(__xludf.DUMMYFUNCTION("""COMPUTED_VALUE"""),"km")</f>
        <v>km</v>
      </c>
      <c r="B366" t="str">
        <f ca="1">IFERROR(__xludf.DUMMYFUNCTION("""COMPUTED_VALUE"""),"Model S P85D")</f>
        <v>Model S P85D</v>
      </c>
      <c r="D366">
        <f ca="1">IFERROR(__xludf.DUMMYFUNCTION("""COMPUTED_VALUE"""),97738)</f>
        <v>97738</v>
      </c>
      <c r="E366">
        <f ca="1">IFERROR(__xludf.DUMMYFUNCTION("""COMPUTED_VALUE"""),376)</f>
        <v>376</v>
      </c>
      <c r="F366">
        <v>403</v>
      </c>
      <c r="G366">
        <v>0.9330024813895782</v>
      </c>
      <c r="H366">
        <v>60732</v>
      </c>
      <c r="I366">
        <v>97738</v>
      </c>
      <c r="J366">
        <v>60732</v>
      </c>
      <c r="K366">
        <v>0.94189258722216596</v>
      </c>
      <c r="L366">
        <f t="shared" ca="1" si="44"/>
        <v>233.63549599999999</v>
      </c>
      <c r="M366">
        <f t="shared" si="44"/>
        <v>250.41251299999999</v>
      </c>
      <c r="N366">
        <v>60732</v>
      </c>
      <c r="O366">
        <f t="shared" ca="1" si="38"/>
        <v>0.9330024813895782</v>
      </c>
    </row>
    <row r="367" spans="1:15" x14ac:dyDescent="0.2">
      <c r="A367" t="str">
        <f ca="1">IFERROR(__xludf.DUMMYFUNCTION("""COMPUTED_VALUE"""),"km")</f>
        <v>km</v>
      </c>
      <c r="B367" t="str">
        <f ca="1">IFERROR(__xludf.DUMMYFUNCTION("""COMPUTED_VALUE"""),"Model S P85D")</f>
        <v>Model S P85D</v>
      </c>
      <c r="C367">
        <f ca="1">IFERROR(__xludf.DUMMYFUNCTION("""COMPUTED_VALUE"""),406)</f>
        <v>406</v>
      </c>
      <c r="D367">
        <f ca="1">IFERROR(__xludf.DUMMYFUNCTION("""COMPUTED_VALUE"""),24956)</f>
        <v>24956</v>
      </c>
      <c r="E367">
        <f ca="1">IFERROR(__xludf.DUMMYFUNCTION("""COMPUTED_VALUE"""),376)</f>
        <v>376</v>
      </c>
      <c r="F367">
        <v>403</v>
      </c>
      <c r="G367">
        <v>0.9330024813895782</v>
      </c>
      <c r="H367">
        <v>15507</v>
      </c>
      <c r="I367">
        <v>24956</v>
      </c>
      <c r="J367">
        <v>15507</v>
      </c>
      <c r="K367">
        <v>0.98346018735949126</v>
      </c>
      <c r="L367">
        <f t="shared" ca="1" si="44"/>
        <v>233.63549599999999</v>
      </c>
      <c r="M367">
        <f t="shared" si="44"/>
        <v>250.41251299999999</v>
      </c>
      <c r="N367">
        <v>15507</v>
      </c>
      <c r="O367">
        <f t="shared" ca="1" si="38"/>
        <v>0.9330024813895782</v>
      </c>
    </row>
    <row r="368" spans="1:15" x14ac:dyDescent="0.2">
      <c r="A368" t="str">
        <f ca="1">IFERROR(__xludf.DUMMYFUNCTION("""COMPUTED_VALUE"""),"km")</f>
        <v>km</v>
      </c>
      <c r="B368" t="str">
        <f ca="1">IFERROR(__xludf.DUMMYFUNCTION("""COMPUTED_VALUE"""),"Model S P85D")</f>
        <v>Model S P85D</v>
      </c>
      <c r="C368">
        <f ca="1">IFERROR(__xludf.DUMMYFUNCTION("""COMPUTED_VALUE"""),406)</f>
        <v>406</v>
      </c>
      <c r="D368">
        <f ca="1">IFERROR(__xludf.DUMMYFUNCTION("""COMPUTED_VALUE"""),24758)</f>
        <v>24758</v>
      </c>
      <c r="E368">
        <f ca="1">IFERROR(__xludf.DUMMYFUNCTION("""COMPUTED_VALUE"""),376)</f>
        <v>376</v>
      </c>
      <c r="F368">
        <v>403</v>
      </c>
      <c r="G368">
        <v>0.9330024813895782</v>
      </c>
      <c r="H368">
        <v>15384</v>
      </c>
      <c r="I368">
        <v>24758</v>
      </c>
      <c r="J368">
        <v>15384</v>
      </c>
      <c r="K368">
        <v>0.98358694402784819</v>
      </c>
      <c r="L368">
        <f t="shared" ca="1" si="44"/>
        <v>233.63549599999999</v>
      </c>
      <c r="M368">
        <f t="shared" si="44"/>
        <v>250.41251299999999</v>
      </c>
      <c r="N368">
        <v>15384</v>
      </c>
      <c r="O368">
        <f t="shared" ca="1" si="38"/>
        <v>0.9330024813895782</v>
      </c>
    </row>
    <row r="369" spans="1:15" x14ac:dyDescent="0.2">
      <c r="A369" t="str">
        <f ca="1">IFERROR(__xludf.DUMMYFUNCTION("""COMPUTED_VALUE"""),"km")</f>
        <v>km</v>
      </c>
      <c r="B369" t="str">
        <f ca="1">IFERROR(__xludf.DUMMYFUNCTION("""COMPUTED_VALUE"""),"Model S P85D")</f>
        <v>Model S P85D</v>
      </c>
      <c r="C369">
        <f ca="1">IFERROR(__xludf.DUMMYFUNCTION("""COMPUTED_VALUE"""),406)</f>
        <v>406</v>
      </c>
      <c r="D369">
        <f ca="1">IFERROR(__xludf.DUMMYFUNCTION("""COMPUTED_VALUE"""),24606)</f>
        <v>24606</v>
      </c>
      <c r="E369">
        <f ca="1">IFERROR(__xludf.DUMMYFUNCTION("""COMPUTED_VALUE"""),376)</f>
        <v>376</v>
      </c>
      <c r="F369">
        <v>403</v>
      </c>
      <c r="G369">
        <v>0.9330024813895782</v>
      </c>
      <c r="H369">
        <v>15289</v>
      </c>
      <c r="I369">
        <v>24606</v>
      </c>
      <c r="J369">
        <v>15289</v>
      </c>
      <c r="K369">
        <v>0.98368430113653482</v>
      </c>
      <c r="L369">
        <f t="shared" ca="1" si="44"/>
        <v>233.63549599999999</v>
      </c>
      <c r="M369">
        <f t="shared" si="44"/>
        <v>250.41251299999999</v>
      </c>
      <c r="N369">
        <v>15289</v>
      </c>
      <c r="O369">
        <f t="shared" ca="1" si="38"/>
        <v>0.9330024813895782</v>
      </c>
    </row>
    <row r="370" spans="1:15" x14ac:dyDescent="0.2">
      <c r="A370" t="str">
        <f ca="1">IFERROR(__xludf.DUMMYFUNCTION("""COMPUTED_VALUE"""),"mi")</f>
        <v>mi</v>
      </c>
      <c r="B370" t="str">
        <f ca="1">IFERROR(__xludf.DUMMYFUNCTION("""COMPUTED_VALUE"""),"Model 3 P")</f>
        <v>Model 3 P</v>
      </c>
      <c r="C370">
        <f ca="1">IFERROR(__xludf.DUMMYFUNCTION("""COMPUTED_VALUE"""),311)</f>
        <v>311</v>
      </c>
      <c r="D370">
        <f ca="1">IFERROR(__xludf.DUMMYFUNCTION("""COMPUTED_VALUE"""),15162)</f>
        <v>15162</v>
      </c>
      <c r="E370">
        <f ca="1">IFERROR(__xludf.DUMMYFUNCTION("""COMPUTED_VALUE"""),289.24)</f>
        <v>289.24</v>
      </c>
      <c r="F370">
        <v>310</v>
      </c>
      <c r="G370">
        <v>0.93303225806451617</v>
      </c>
      <c r="H370">
        <v>15162</v>
      </c>
      <c r="I370">
        <v>24401</v>
      </c>
      <c r="J370">
        <v>15162</v>
      </c>
      <c r="K370">
        <v>0.98381567246882418</v>
      </c>
      <c r="L370">
        <f ca="1">IFERROR(__xludf.DUMMYFUNCTION("""COMPUTED_VALUE"""),289.24)</f>
        <v>289.24</v>
      </c>
      <c r="M370">
        <v>310</v>
      </c>
      <c r="N370">
        <v>15162</v>
      </c>
      <c r="O370">
        <f t="shared" ca="1" si="38"/>
        <v>0.93303225806451617</v>
      </c>
    </row>
    <row r="371" spans="1:15" x14ac:dyDescent="0.2">
      <c r="A371" t="str">
        <f ca="1">IFERROR(__xludf.DUMMYFUNCTION("""COMPUTED_VALUE"""),"km")</f>
        <v>km</v>
      </c>
      <c r="B371" t="str">
        <f ca="1">IFERROR(__xludf.DUMMYFUNCTION("""COMPUTED_VALUE"""),"Model S 75")</f>
        <v>Model S 75</v>
      </c>
      <c r="D371">
        <f ca="1">IFERROR(__xludf.DUMMYFUNCTION("""COMPUTED_VALUE"""),12474)</f>
        <v>12474</v>
      </c>
      <c r="E371">
        <f ca="1">IFERROR(__xludf.DUMMYFUNCTION("""COMPUTED_VALUE"""),350)</f>
        <v>350</v>
      </c>
      <c r="F371">
        <v>375</v>
      </c>
      <c r="G371">
        <v>0.93333333333333335</v>
      </c>
      <c r="H371">
        <v>7751</v>
      </c>
      <c r="I371">
        <v>12474</v>
      </c>
      <c r="J371">
        <v>7751</v>
      </c>
      <c r="K371">
        <v>0.9915914398463459</v>
      </c>
      <c r="L371">
        <f ca="1">E371*0.621371</f>
        <v>217.47985</v>
      </c>
      <c r="M371">
        <f>F371*0.621371</f>
        <v>233.01412500000001</v>
      </c>
      <c r="N371">
        <v>7751</v>
      </c>
      <c r="O371">
        <f t="shared" ca="1" si="38"/>
        <v>0.93333333333333335</v>
      </c>
    </row>
    <row r="372" spans="1:15" x14ac:dyDescent="0.2">
      <c r="A372" t="str">
        <f ca="1">IFERROR(__xludf.DUMMYFUNCTION("""COMPUTED_VALUE"""),"km")</f>
        <v>km</v>
      </c>
      <c r="B372" t="str">
        <f ca="1">IFERROR(__xludf.DUMMYFUNCTION("""COMPUTED_VALUE"""),"Model S 70D")</f>
        <v>Model S 70D</v>
      </c>
      <c r="D372">
        <f ca="1">IFERROR(__xludf.DUMMYFUNCTION("""COMPUTED_VALUE"""),130)</f>
        <v>130</v>
      </c>
      <c r="E372">
        <f ca="1">IFERROR(__xludf.DUMMYFUNCTION("""COMPUTED_VALUE"""),336)</f>
        <v>336</v>
      </c>
      <c r="F372">
        <v>360</v>
      </c>
      <c r="G372">
        <v>0.93333333333333335</v>
      </c>
      <c r="H372">
        <v>81</v>
      </c>
      <c r="I372">
        <v>130</v>
      </c>
      <c r="J372">
        <v>81</v>
      </c>
      <c r="K372">
        <v>0.99991092598378706</v>
      </c>
      <c r="L372">
        <f ca="1">E372*0.621371</f>
        <v>208.78065599999999</v>
      </c>
      <c r="M372">
        <f>F372*0.621371</f>
        <v>223.69355999999999</v>
      </c>
      <c r="N372">
        <v>81</v>
      </c>
      <c r="O372">
        <f t="shared" ca="1" si="38"/>
        <v>0.93333333333333335</v>
      </c>
    </row>
    <row r="373" spans="1:15" x14ac:dyDescent="0.2">
      <c r="A373" t="str">
        <f ca="1">IFERROR(__xludf.DUMMYFUNCTION("""COMPUTED_VALUE"""),"mi")</f>
        <v>mi</v>
      </c>
      <c r="B373" t="str">
        <f ca="1">IFERROR(__xludf.DUMMYFUNCTION("""COMPUTED_VALUE"""),"Model S P90D")</f>
        <v>Model S P90D</v>
      </c>
      <c r="C373">
        <f ca="1">IFERROR(__xludf.DUMMYFUNCTION("""COMPUTED_VALUE"""),271)</f>
        <v>271</v>
      </c>
      <c r="D373">
        <f ca="1">IFERROR(__xludf.DUMMYFUNCTION("""COMPUTED_VALUE"""),26434)</f>
        <v>26434</v>
      </c>
      <c r="E373">
        <f ca="1">IFERROR(__xludf.DUMMYFUNCTION("""COMPUTED_VALUE"""),253)</f>
        <v>253</v>
      </c>
      <c r="F373">
        <v>271</v>
      </c>
      <c r="G373">
        <v>0.93357933579335795</v>
      </c>
      <c r="H373">
        <v>26434</v>
      </c>
      <c r="I373">
        <v>42541</v>
      </c>
      <c r="J373">
        <v>26434</v>
      </c>
      <c r="K373">
        <v>0.97249228045562708</v>
      </c>
      <c r="L373">
        <f ca="1">IFERROR(__xludf.DUMMYFUNCTION("""COMPUTED_VALUE"""),253)</f>
        <v>253</v>
      </c>
      <c r="M373">
        <v>271</v>
      </c>
      <c r="N373">
        <v>26434</v>
      </c>
      <c r="O373">
        <f t="shared" ca="1" si="38"/>
        <v>0.93357933579335795</v>
      </c>
    </row>
    <row r="374" spans="1:15" x14ac:dyDescent="0.2">
      <c r="A374" t="str">
        <f ca="1">IFERROR(__xludf.DUMMYFUNCTION("""COMPUTED_VALUE"""),"km")</f>
        <v>km</v>
      </c>
      <c r="B374" t="str">
        <f ca="1">IFERROR(__xludf.DUMMYFUNCTION("""COMPUTED_VALUE"""),"Model 3 P")</f>
        <v>Model 3 P</v>
      </c>
      <c r="C374">
        <f ca="1">IFERROR(__xludf.DUMMYFUNCTION("""COMPUTED_VALUE"""),499)</f>
        <v>499</v>
      </c>
      <c r="D374">
        <f ca="1">IFERROR(__xludf.DUMMYFUNCTION("""COMPUTED_VALUE"""),30000)</f>
        <v>30000</v>
      </c>
      <c r="E374">
        <f ca="1">IFERROR(__xludf.DUMMYFUNCTION("""COMPUTED_VALUE"""),466)</f>
        <v>466</v>
      </c>
      <c r="F374">
        <v>499</v>
      </c>
      <c r="G374">
        <v>0.93386773547094193</v>
      </c>
      <c r="H374">
        <v>18641</v>
      </c>
      <c r="I374">
        <v>30000</v>
      </c>
      <c r="J374">
        <v>18641</v>
      </c>
      <c r="K374">
        <v>0.98025547595861162</v>
      </c>
      <c r="L374">
        <f t="shared" ref="L374:L391" ca="1" si="45">E374*0.621371</f>
        <v>289.55888600000003</v>
      </c>
      <c r="M374">
        <f t="shared" ref="M374:M391" si="46">F374*0.621371</f>
        <v>310.06412899999998</v>
      </c>
      <c r="N374">
        <v>18641</v>
      </c>
      <c r="O374">
        <f t="shared" ca="1" si="38"/>
        <v>0.93386773547094204</v>
      </c>
    </row>
    <row r="375" spans="1:15" x14ac:dyDescent="0.2">
      <c r="A375" t="str">
        <f ca="1">IFERROR(__xludf.DUMMYFUNCTION("""COMPUTED_VALUE"""),"km")</f>
        <v>km</v>
      </c>
      <c r="B375" t="str">
        <f ca="1">IFERROR(__xludf.DUMMYFUNCTION("""COMPUTED_VALUE"""),"Model 3 P")</f>
        <v>Model 3 P</v>
      </c>
      <c r="D375">
        <f ca="1">IFERROR(__xludf.DUMMYFUNCTION("""COMPUTED_VALUE"""),47164)</f>
        <v>47164</v>
      </c>
      <c r="E375">
        <f ca="1">IFERROR(__xludf.DUMMYFUNCTION("""COMPUTED_VALUE"""),466)</f>
        <v>466</v>
      </c>
      <c r="F375">
        <v>499</v>
      </c>
      <c r="G375">
        <v>0.93386773547094193</v>
      </c>
      <c r="H375">
        <v>29306</v>
      </c>
      <c r="I375">
        <v>47164</v>
      </c>
      <c r="J375">
        <v>29306</v>
      </c>
      <c r="K375">
        <v>0.96970481645106066</v>
      </c>
      <c r="L375">
        <f t="shared" ca="1" si="45"/>
        <v>289.55888600000003</v>
      </c>
      <c r="M375">
        <f t="shared" si="46"/>
        <v>310.06412899999998</v>
      </c>
      <c r="N375">
        <v>29306</v>
      </c>
      <c r="O375">
        <f t="shared" ca="1" si="38"/>
        <v>0.93386773547094204</v>
      </c>
    </row>
    <row r="376" spans="1:15" x14ac:dyDescent="0.2">
      <c r="A376" t="str">
        <f ca="1">IFERROR(__xludf.DUMMYFUNCTION("""COMPUTED_VALUE"""),"km")</f>
        <v>km</v>
      </c>
      <c r="B376" t="str">
        <f ca="1">IFERROR(__xludf.DUMMYFUNCTION("""COMPUTED_VALUE"""),"Model S 85")</f>
        <v>Model S 85</v>
      </c>
      <c r="D376">
        <f ca="1">IFERROR(__xludf.DUMMYFUNCTION("""COMPUTED_VALUE"""),189322)</f>
        <v>189322</v>
      </c>
      <c r="E376">
        <f ca="1">IFERROR(__xludf.DUMMYFUNCTION("""COMPUTED_VALUE"""),369)</f>
        <v>369</v>
      </c>
      <c r="F376">
        <v>395</v>
      </c>
      <c r="G376">
        <v>0.9341772151898734</v>
      </c>
      <c r="H376">
        <v>117639</v>
      </c>
      <c r="I376">
        <v>189322</v>
      </c>
      <c r="J376">
        <v>117639</v>
      </c>
      <c r="K376">
        <v>0.90475504808193796</v>
      </c>
      <c r="L376">
        <f t="shared" ca="1" si="45"/>
        <v>229.285899</v>
      </c>
      <c r="M376">
        <f t="shared" si="46"/>
        <v>245.44154499999999</v>
      </c>
      <c r="N376">
        <v>117639</v>
      </c>
      <c r="O376">
        <f t="shared" ca="1" si="38"/>
        <v>0.9341772151898734</v>
      </c>
    </row>
    <row r="377" spans="1:15" x14ac:dyDescent="0.2">
      <c r="A377" t="str">
        <f ca="1">IFERROR(__xludf.DUMMYFUNCTION("""COMPUTED_VALUE"""),"km")</f>
        <v>km</v>
      </c>
      <c r="B377" t="str">
        <f ca="1">IFERROR(__xludf.DUMMYFUNCTION("""COMPUTED_VALUE"""),"Model S 85")</f>
        <v>Model S 85</v>
      </c>
      <c r="D377">
        <f ca="1">IFERROR(__xludf.DUMMYFUNCTION("""COMPUTED_VALUE"""),162000)</f>
        <v>162000</v>
      </c>
      <c r="E377">
        <f ca="1">IFERROR(__xludf.DUMMYFUNCTION("""COMPUTED_VALUE"""),369)</f>
        <v>369</v>
      </c>
      <c r="F377">
        <v>395</v>
      </c>
      <c r="G377">
        <v>0.9341772151898734</v>
      </c>
      <c r="H377">
        <v>100662</v>
      </c>
      <c r="I377">
        <v>162000</v>
      </c>
      <c r="J377">
        <v>100662</v>
      </c>
      <c r="K377">
        <v>0.91397174202509279</v>
      </c>
      <c r="L377">
        <f t="shared" ca="1" si="45"/>
        <v>229.285899</v>
      </c>
      <c r="M377">
        <f t="shared" si="46"/>
        <v>245.44154499999999</v>
      </c>
      <c r="N377">
        <v>100662</v>
      </c>
      <c r="O377">
        <f t="shared" ca="1" si="38"/>
        <v>0.9341772151898734</v>
      </c>
    </row>
    <row r="378" spans="1:15" x14ac:dyDescent="0.2">
      <c r="A378" t="str">
        <f ca="1">IFERROR(__xludf.DUMMYFUNCTION("""COMPUTED_VALUE"""),"km")</f>
        <v>km</v>
      </c>
      <c r="B378" t="str">
        <f ca="1">IFERROR(__xludf.DUMMYFUNCTION("""COMPUTED_VALUE"""),"Model S P85")</f>
        <v>Model S P85</v>
      </c>
      <c r="C378">
        <f ca="1">IFERROR(__xludf.DUMMYFUNCTION("""COMPUTED_VALUE"""),400)</f>
        <v>400</v>
      </c>
      <c r="D378">
        <f ca="1">IFERROR(__xludf.DUMMYFUNCTION("""COMPUTED_VALUE"""),251200)</f>
        <v>251200</v>
      </c>
      <c r="E378">
        <f ca="1">IFERROR(__xludf.DUMMYFUNCTION("""COMPUTED_VALUE"""),369)</f>
        <v>369</v>
      </c>
      <c r="F378">
        <v>395</v>
      </c>
      <c r="G378">
        <v>0.9341772151898734</v>
      </c>
      <c r="H378">
        <v>156088</v>
      </c>
      <c r="I378">
        <v>251200</v>
      </c>
      <c r="J378">
        <v>156088</v>
      </c>
      <c r="K378">
        <v>0.89008627528160122</v>
      </c>
      <c r="L378">
        <f t="shared" ca="1" si="45"/>
        <v>229.285899</v>
      </c>
      <c r="M378">
        <f t="shared" si="46"/>
        <v>245.44154499999999</v>
      </c>
      <c r="N378">
        <v>156088</v>
      </c>
      <c r="O378">
        <f t="shared" ca="1" si="38"/>
        <v>0.9341772151898734</v>
      </c>
    </row>
    <row r="379" spans="1:15" x14ac:dyDescent="0.2">
      <c r="A379" t="str">
        <f ca="1">IFERROR(__xludf.DUMMYFUNCTION("""COMPUTED_VALUE"""),"km")</f>
        <v>km</v>
      </c>
      <c r="B379" t="str">
        <f ca="1">IFERROR(__xludf.DUMMYFUNCTION("""COMPUTED_VALUE"""),"Model S P85")</f>
        <v>Model S P85</v>
      </c>
      <c r="C379">
        <f ca="1">IFERROR(__xludf.DUMMYFUNCTION("""COMPUTED_VALUE"""),400)</f>
        <v>400</v>
      </c>
      <c r="D379">
        <f ca="1">IFERROR(__xludf.DUMMYFUNCTION("""COMPUTED_VALUE"""),251000)</f>
        <v>251000</v>
      </c>
      <c r="E379">
        <f ca="1">IFERROR(__xludf.DUMMYFUNCTION("""COMPUTED_VALUE"""),369)</f>
        <v>369</v>
      </c>
      <c r="F379">
        <v>395</v>
      </c>
      <c r="G379">
        <v>0.9341772151898734</v>
      </c>
      <c r="H379">
        <v>155964</v>
      </c>
      <c r="I379">
        <v>251000</v>
      </c>
      <c r="J379">
        <v>155964</v>
      </c>
      <c r="K379">
        <v>0.89011934606781606</v>
      </c>
      <c r="L379">
        <f t="shared" ca="1" si="45"/>
        <v>229.285899</v>
      </c>
      <c r="M379">
        <f t="shared" si="46"/>
        <v>245.44154499999999</v>
      </c>
      <c r="N379">
        <v>155964</v>
      </c>
      <c r="O379">
        <f t="shared" ca="1" si="38"/>
        <v>0.9341772151898734</v>
      </c>
    </row>
    <row r="380" spans="1:15" x14ac:dyDescent="0.2">
      <c r="A380" t="str">
        <f ca="1">IFERROR(__xludf.DUMMYFUNCTION("""COMPUTED_VALUE"""),"km")</f>
        <v>km</v>
      </c>
      <c r="B380" t="str">
        <f ca="1">IFERROR(__xludf.DUMMYFUNCTION("""COMPUTED_VALUE"""),"Model S 85")</f>
        <v>Model S 85</v>
      </c>
      <c r="C380">
        <f ca="1">IFERROR(__xludf.DUMMYFUNCTION("""COMPUTED_VALUE"""),396)</f>
        <v>396</v>
      </c>
      <c r="D380">
        <f ca="1">IFERROR(__xludf.DUMMYFUNCTION("""COMPUTED_VALUE"""),106000)</f>
        <v>106000</v>
      </c>
      <c r="E380">
        <f ca="1">IFERROR(__xludf.DUMMYFUNCTION("""COMPUTED_VALUE"""),369)</f>
        <v>369</v>
      </c>
      <c r="F380">
        <v>395</v>
      </c>
      <c r="G380">
        <v>0.9341772151898734</v>
      </c>
      <c r="H380">
        <v>65865</v>
      </c>
      <c r="I380">
        <v>106000</v>
      </c>
      <c r="J380">
        <v>65865</v>
      </c>
      <c r="K380">
        <v>0.93782737682661477</v>
      </c>
      <c r="L380">
        <f t="shared" ca="1" si="45"/>
        <v>229.285899</v>
      </c>
      <c r="M380">
        <f t="shared" si="46"/>
        <v>245.44154499999999</v>
      </c>
      <c r="N380">
        <v>65865</v>
      </c>
      <c r="O380">
        <f t="shared" ca="1" si="38"/>
        <v>0.9341772151898734</v>
      </c>
    </row>
    <row r="381" spans="1:15" x14ac:dyDescent="0.2">
      <c r="A381" t="str">
        <f ca="1">IFERROR(__xludf.DUMMYFUNCTION("""COMPUTED_VALUE"""),"km")</f>
        <v>km</v>
      </c>
      <c r="B381" t="str">
        <f ca="1">IFERROR(__xludf.DUMMYFUNCTION("""COMPUTED_VALUE"""),"Model S 85")</f>
        <v>Model S 85</v>
      </c>
      <c r="C381">
        <f ca="1">IFERROR(__xludf.DUMMYFUNCTION("""COMPUTED_VALUE"""),387)</f>
        <v>387</v>
      </c>
      <c r="D381">
        <f ca="1">IFERROR(__xludf.DUMMYFUNCTION("""COMPUTED_VALUE"""),85000)</f>
        <v>85000</v>
      </c>
      <c r="E381">
        <f ca="1">IFERROR(__xludf.DUMMYFUNCTION("""COMPUTED_VALUE"""),369)</f>
        <v>369</v>
      </c>
      <c r="F381">
        <v>395</v>
      </c>
      <c r="G381">
        <v>0.9341772151898734</v>
      </c>
      <c r="H381">
        <v>52817</v>
      </c>
      <c r="I381">
        <v>85000</v>
      </c>
      <c r="J381">
        <v>52817</v>
      </c>
      <c r="K381">
        <v>0.94842714235454184</v>
      </c>
      <c r="L381">
        <f t="shared" ca="1" si="45"/>
        <v>229.285899</v>
      </c>
      <c r="M381">
        <f t="shared" si="46"/>
        <v>245.44154499999999</v>
      </c>
      <c r="N381">
        <v>52817</v>
      </c>
      <c r="O381">
        <f t="shared" ca="1" si="38"/>
        <v>0.9341772151898734</v>
      </c>
    </row>
    <row r="382" spans="1:15" x14ac:dyDescent="0.2">
      <c r="A382" t="str">
        <f ca="1">IFERROR(__xludf.DUMMYFUNCTION("""COMPUTED_VALUE"""),"km")</f>
        <v>km</v>
      </c>
      <c r="B382" t="str">
        <f ca="1">IFERROR(__xludf.DUMMYFUNCTION("""COMPUTED_VALUE"""),"Model S 85")</f>
        <v>Model S 85</v>
      </c>
      <c r="C382">
        <f ca="1">IFERROR(__xludf.DUMMYFUNCTION("""COMPUTED_VALUE"""),383)</f>
        <v>383</v>
      </c>
      <c r="D382">
        <f ca="1">IFERROR(__xludf.DUMMYFUNCTION("""COMPUTED_VALUE"""),106563)</f>
        <v>106563</v>
      </c>
      <c r="E382">
        <f ca="1">IFERROR(__xludf.DUMMYFUNCTION("""COMPUTED_VALUE"""),369)</f>
        <v>369</v>
      </c>
      <c r="F382">
        <v>395</v>
      </c>
      <c r="G382">
        <v>0.9341772151898734</v>
      </c>
      <c r="H382">
        <v>66215</v>
      </c>
      <c r="I382">
        <v>106563</v>
      </c>
      <c r="J382">
        <v>66215</v>
      </c>
      <c r="K382">
        <v>0.93755535951257496</v>
      </c>
      <c r="L382">
        <f t="shared" ca="1" si="45"/>
        <v>229.285899</v>
      </c>
      <c r="M382">
        <f t="shared" si="46"/>
        <v>245.44154499999999</v>
      </c>
      <c r="N382">
        <v>66215</v>
      </c>
      <c r="O382">
        <f t="shared" ca="1" si="38"/>
        <v>0.9341772151898734</v>
      </c>
    </row>
    <row r="383" spans="1:15" x14ac:dyDescent="0.2">
      <c r="A383" t="str">
        <f ca="1">IFERROR(__xludf.DUMMYFUNCTION("""COMPUTED_VALUE"""),"km")</f>
        <v>km</v>
      </c>
      <c r="B383" t="str">
        <f ca="1">IFERROR(__xludf.DUMMYFUNCTION("""COMPUTED_VALUE"""),"Model S 85")</f>
        <v>Model S 85</v>
      </c>
      <c r="C383">
        <f ca="1">IFERROR(__xludf.DUMMYFUNCTION("""COMPUTED_VALUE"""),383)</f>
        <v>383</v>
      </c>
      <c r="D383">
        <f ca="1">IFERROR(__xludf.DUMMYFUNCTION("""COMPUTED_VALUE"""),93400)</f>
        <v>93400</v>
      </c>
      <c r="E383">
        <f ca="1">IFERROR(__xludf.DUMMYFUNCTION("""COMPUTED_VALUE"""),369)</f>
        <v>369</v>
      </c>
      <c r="F383">
        <v>395</v>
      </c>
      <c r="G383">
        <v>0.9341772151898734</v>
      </c>
      <c r="H383">
        <v>58036</v>
      </c>
      <c r="I383">
        <v>93400</v>
      </c>
      <c r="J383">
        <v>58036</v>
      </c>
      <c r="K383">
        <v>0.94408177171342889</v>
      </c>
      <c r="L383">
        <f t="shared" ca="1" si="45"/>
        <v>229.285899</v>
      </c>
      <c r="M383">
        <f t="shared" si="46"/>
        <v>245.44154499999999</v>
      </c>
      <c r="N383">
        <v>58036</v>
      </c>
      <c r="O383">
        <f t="shared" ca="1" si="38"/>
        <v>0.9341772151898734</v>
      </c>
    </row>
    <row r="384" spans="1:15" x14ac:dyDescent="0.2">
      <c r="A384" t="str">
        <f ca="1">IFERROR(__xludf.DUMMYFUNCTION("""COMPUTED_VALUE"""),"km")</f>
        <v>km</v>
      </c>
      <c r="B384" t="str">
        <f ca="1">IFERROR(__xludf.DUMMYFUNCTION("""COMPUTED_VALUE"""),"Model S 85")</f>
        <v>Model S 85</v>
      </c>
      <c r="D384">
        <f ca="1">IFERROR(__xludf.DUMMYFUNCTION("""COMPUTED_VALUE"""),51000)</f>
        <v>51000</v>
      </c>
      <c r="E384">
        <f ca="1">IFERROR(__xludf.DUMMYFUNCTION("""COMPUTED_VALUE"""),369)</f>
        <v>369</v>
      </c>
      <c r="F384">
        <v>395</v>
      </c>
      <c r="G384">
        <v>0.9341772151898734</v>
      </c>
      <c r="H384">
        <v>31690</v>
      </c>
      <c r="I384">
        <v>51000</v>
      </c>
      <c r="J384">
        <v>31690</v>
      </c>
      <c r="K384">
        <v>0.96742250045921963</v>
      </c>
      <c r="L384">
        <f t="shared" ca="1" si="45"/>
        <v>229.285899</v>
      </c>
      <c r="M384">
        <f t="shared" si="46"/>
        <v>245.44154499999999</v>
      </c>
      <c r="N384">
        <v>31690</v>
      </c>
      <c r="O384">
        <f t="shared" ca="1" si="38"/>
        <v>0.9341772151898734</v>
      </c>
    </row>
    <row r="385" spans="1:15" x14ac:dyDescent="0.2">
      <c r="A385" t="str">
        <f ca="1">IFERROR(__xludf.DUMMYFUNCTION("""COMPUTED_VALUE"""),"km")</f>
        <v>km</v>
      </c>
      <c r="B385" t="str">
        <f ca="1">IFERROR(__xludf.DUMMYFUNCTION("""COMPUTED_VALUE"""),"Model S 85")</f>
        <v>Model S 85</v>
      </c>
      <c r="D385">
        <f ca="1">IFERROR(__xludf.DUMMYFUNCTION("""COMPUTED_VALUE"""),70614)</f>
        <v>70614</v>
      </c>
      <c r="E385">
        <f ca="1">IFERROR(__xludf.DUMMYFUNCTION("""COMPUTED_VALUE"""),369)</f>
        <v>369</v>
      </c>
      <c r="F385">
        <v>395</v>
      </c>
      <c r="G385">
        <v>0.9341772151898734</v>
      </c>
      <c r="H385">
        <v>43878</v>
      </c>
      <c r="I385">
        <v>70614</v>
      </c>
      <c r="J385">
        <v>43878</v>
      </c>
      <c r="K385">
        <v>0.95619139879170667</v>
      </c>
      <c r="L385">
        <f t="shared" ca="1" si="45"/>
        <v>229.285899</v>
      </c>
      <c r="M385">
        <f t="shared" si="46"/>
        <v>245.44154499999999</v>
      </c>
      <c r="N385">
        <v>43878</v>
      </c>
      <c r="O385">
        <f t="shared" ca="1" si="38"/>
        <v>0.9341772151898734</v>
      </c>
    </row>
    <row r="386" spans="1:15" x14ac:dyDescent="0.2">
      <c r="A386" t="str">
        <f ca="1">IFERROR(__xludf.DUMMYFUNCTION("""COMPUTED_VALUE"""),"km")</f>
        <v>km</v>
      </c>
      <c r="B386" t="str">
        <f ca="1">IFERROR(__xludf.DUMMYFUNCTION("""COMPUTED_VALUE"""),"Model S P85")</f>
        <v>Model S P85</v>
      </c>
      <c r="D386">
        <f ca="1">IFERROR(__xludf.DUMMYFUNCTION("""COMPUTED_VALUE"""),120000)</f>
        <v>120000</v>
      </c>
      <c r="E386">
        <f ca="1">IFERROR(__xludf.DUMMYFUNCTION("""COMPUTED_VALUE"""),369)</f>
        <v>369</v>
      </c>
      <c r="F386">
        <v>395</v>
      </c>
      <c r="G386">
        <v>0.9341772151898734</v>
      </c>
      <c r="H386">
        <v>74565</v>
      </c>
      <c r="I386">
        <v>120000</v>
      </c>
      <c r="J386">
        <v>74565</v>
      </c>
      <c r="K386">
        <v>0.93125407819227712</v>
      </c>
      <c r="L386">
        <f t="shared" ca="1" si="45"/>
        <v>229.285899</v>
      </c>
      <c r="M386">
        <f t="shared" si="46"/>
        <v>245.44154499999999</v>
      </c>
      <c r="N386">
        <v>74565</v>
      </c>
      <c r="O386">
        <f t="shared" ref="O386:O449" ca="1" si="47">L386/M386</f>
        <v>0.9341772151898734</v>
      </c>
    </row>
    <row r="387" spans="1:15" x14ac:dyDescent="0.2">
      <c r="A387" t="str">
        <f ca="1">IFERROR(__xludf.DUMMYFUNCTION("""COMPUTED_VALUE"""),"km")</f>
        <v>km</v>
      </c>
      <c r="B387" t="str">
        <f ca="1">IFERROR(__xludf.DUMMYFUNCTION("""COMPUTED_VALUE"""),"Model S 85")</f>
        <v>Model S 85</v>
      </c>
      <c r="C387">
        <f ca="1">IFERROR(__xludf.DUMMYFUNCTION("""COMPUTED_VALUE"""),400)</f>
        <v>400</v>
      </c>
      <c r="D387">
        <f ca="1">IFERROR(__xludf.DUMMYFUNCTION("""COMPUTED_VALUE"""),58000)</f>
        <v>58000</v>
      </c>
      <c r="E387">
        <f ca="1">IFERROR(__xludf.DUMMYFUNCTION("""COMPUTED_VALUE"""),369)</f>
        <v>369</v>
      </c>
      <c r="F387">
        <v>395</v>
      </c>
      <c r="G387">
        <v>0.9341772151898734</v>
      </c>
      <c r="H387">
        <v>36040</v>
      </c>
      <c r="I387">
        <v>58000</v>
      </c>
      <c r="J387">
        <v>36040</v>
      </c>
      <c r="K387">
        <v>0.96332969200394658</v>
      </c>
      <c r="L387">
        <f t="shared" ca="1" si="45"/>
        <v>229.285899</v>
      </c>
      <c r="M387">
        <f t="shared" si="46"/>
        <v>245.44154499999999</v>
      </c>
      <c r="N387">
        <v>36040</v>
      </c>
      <c r="O387">
        <f t="shared" ca="1" si="47"/>
        <v>0.9341772151898734</v>
      </c>
    </row>
    <row r="388" spans="1:15" x14ac:dyDescent="0.2">
      <c r="A388" t="str">
        <f ca="1">IFERROR(__xludf.DUMMYFUNCTION("""COMPUTED_VALUE"""),"km")</f>
        <v>km</v>
      </c>
      <c r="B388" t="str">
        <f ca="1">IFERROR(__xludf.DUMMYFUNCTION("""COMPUTED_VALUE"""),"Model S P85")</f>
        <v>Model S P85</v>
      </c>
      <c r="D388">
        <f ca="1">IFERROR(__xludf.DUMMYFUNCTION("""COMPUTED_VALUE"""),80150)</f>
        <v>80150</v>
      </c>
      <c r="E388">
        <f ca="1">IFERROR(__xludf.DUMMYFUNCTION("""COMPUTED_VALUE"""),369)</f>
        <v>369</v>
      </c>
      <c r="F388">
        <v>395</v>
      </c>
      <c r="G388">
        <v>0.9341772151898734</v>
      </c>
      <c r="H388">
        <v>49803</v>
      </c>
      <c r="I388">
        <v>80150</v>
      </c>
      <c r="J388">
        <v>49803</v>
      </c>
      <c r="K388">
        <v>0.95099948722470107</v>
      </c>
      <c r="L388">
        <f t="shared" ca="1" si="45"/>
        <v>229.285899</v>
      </c>
      <c r="M388">
        <f t="shared" si="46"/>
        <v>245.44154499999999</v>
      </c>
      <c r="N388">
        <v>49803</v>
      </c>
      <c r="O388">
        <f t="shared" ca="1" si="47"/>
        <v>0.9341772151898734</v>
      </c>
    </row>
    <row r="389" spans="1:15" x14ac:dyDescent="0.2">
      <c r="A389" t="str">
        <f ca="1">IFERROR(__xludf.DUMMYFUNCTION("""COMPUTED_VALUE"""),"km")</f>
        <v>km</v>
      </c>
      <c r="B389" t="str">
        <f ca="1">IFERROR(__xludf.DUMMYFUNCTION("""COMPUTED_VALUE"""),"Model S 85")</f>
        <v>Model S 85</v>
      </c>
      <c r="D389">
        <f ca="1">IFERROR(__xludf.DUMMYFUNCTION("""COMPUTED_VALUE"""),60555)</f>
        <v>60555</v>
      </c>
      <c r="E389">
        <f ca="1">IFERROR(__xludf.DUMMYFUNCTION("""COMPUTED_VALUE"""),369)</f>
        <v>369</v>
      </c>
      <c r="F389">
        <v>395</v>
      </c>
      <c r="G389">
        <v>0.9341772151898734</v>
      </c>
      <c r="H389">
        <v>37627</v>
      </c>
      <c r="I389">
        <v>60555</v>
      </c>
      <c r="J389">
        <v>37627</v>
      </c>
      <c r="K389">
        <v>0.96185910845910172</v>
      </c>
      <c r="L389">
        <f t="shared" ca="1" si="45"/>
        <v>229.285899</v>
      </c>
      <c r="M389">
        <f t="shared" si="46"/>
        <v>245.44154499999999</v>
      </c>
      <c r="N389">
        <v>37627</v>
      </c>
      <c r="O389">
        <f t="shared" ca="1" si="47"/>
        <v>0.9341772151898734</v>
      </c>
    </row>
    <row r="390" spans="1:15" x14ac:dyDescent="0.2">
      <c r="A390" t="str">
        <f ca="1">IFERROR(__xludf.DUMMYFUNCTION("""COMPUTED_VALUE"""),"km")</f>
        <v>km</v>
      </c>
      <c r="B390" t="str">
        <f ca="1">IFERROR(__xludf.DUMMYFUNCTION("""COMPUTED_VALUE"""),"Model S 85")</f>
        <v>Model S 85</v>
      </c>
      <c r="D390">
        <f ca="1">IFERROR(__xludf.DUMMYFUNCTION("""COMPUTED_VALUE"""),159750)</f>
        <v>159750</v>
      </c>
      <c r="E390">
        <f ca="1">IFERROR(__xludf.DUMMYFUNCTION("""COMPUTED_VALUE"""),400)</f>
        <v>400</v>
      </c>
      <c r="F390">
        <v>428</v>
      </c>
      <c r="G390">
        <v>0.93457943925233644</v>
      </c>
      <c r="H390">
        <v>99264</v>
      </c>
      <c r="I390">
        <v>159750</v>
      </c>
      <c r="J390">
        <v>99264</v>
      </c>
      <c r="K390">
        <v>0.91480298867377752</v>
      </c>
      <c r="L390">
        <f t="shared" ca="1" si="45"/>
        <v>248.54840000000002</v>
      </c>
      <c r="M390">
        <f t="shared" si="46"/>
        <v>265.94678800000003</v>
      </c>
      <c r="N390">
        <v>99264</v>
      </c>
      <c r="O390">
        <f t="shared" ca="1" si="47"/>
        <v>0.93457943925233644</v>
      </c>
    </row>
    <row r="391" spans="1:15" x14ac:dyDescent="0.2">
      <c r="A391" t="str">
        <f ca="1">IFERROR(__xludf.DUMMYFUNCTION("""COMPUTED_VALUE"""),"km")</f>
        <v>km</v>
      </c>
      <c r="B391" t="str">
        <f ca="1">IFERROR(__xludf.DUMMYFUNCTION("""COMPUTED_VALUE"""),"Model S 85")</f>
        <v>Model S 85</v>
      </c>
      <c r="D391">
        <f ca="1">IFERROR(__xludf.DUMMYFUNCTION("""COMPUTED_VALUE"""),132000)</f>
        <v>132000</v>
      </c>
      <c r="E391">
        <f ca="1">IFERROR(__xludf.DUMMYFUNCTION("""COMPUTED_VALUE"""),400)</f>
        <v>400</v>
      </c>
      <c r="F391">
        <v>428</v>
      </c>
      <c r="G391">
        <v>0.93457943925233644</v>
      </c>
      <c r="H391">
        <v>82021</v>
      </c>
      <c r="I391">
        <v>132000</v>
      </c>
      <c r="J391">
        <v>82021</v>
      </c>
      <c r="K391">
        <v>0.92593949824326349</v>
      </c>
      <c r="L391">
        <f t="shared" ca="1" si="45"/>
        <v>248.54840000000002</v>
      </c>
      <c r="M391">
        <f t="shared" si="46"/>
        <v>265.94678800000003</v>
      </c>
      <c r="N391">
        <v>82021</v>
      </c>
      <c r="O391">
        <f t="shared" ca="1" si="47"/>
        <v>0.93457943925233644</v>
      </c>
    </row>
    <row r="392" spans="1:15" x14ac:dyDescent="0.2">
      <c r="A392" t="str">
        <f ca="1">IFERROR(__xludf.DUMMYFUNCTION("""COMPUTED_VALUE"""),"mi")</f>
        <v>mi</v>
      </c>
      <c r="B392" t="str">
        <f ca="1">IFERROR(__xludf.DUMMYFUNCTION("""COMPUTED_VALUE"""),"Model S 85")</f>
        <v>Model S 85</v>
      </c>
      <c r="D392">
        <f ca="1">IFERROR(__xludf.DUMMYFUNCTION("""COMPUTED_VALUE"""),67195)</f>
        <v>67195</v>
      </c>
      <c r="E392">
        <f ca="1">IFERROR(__xludf.DUMMYFUNCTION("""COMPUTED_VALUE"""),229)</f>
        <v>229</v>
      </c>
      <c r="F392">
        <v>245</v>
      </c>
      <c r="G392">
        <v>0.9346938775510204</v>
      </c>
      <c r="H392">
        <v>67195</v>
      </c>
      <c r="I392">
        <v>108140</v>
      </c>
      <c r="J392">
        <v>67195</v>
      </c>
      <c r="K392">
        <v>0.93679683042257467</v>
      </c>
      <c r="L392">
        <f ca="1">IFERROR(__xludf.DUMMYFUNCTION("""COMPUTED_VALUE"""),229)</f>
        <v>229</v>
      </c>
      <c r="M392">
        <v>245</v>
      </c>
      <c r="N392">
        <v>67195</v>
      </c>
      <c r="O392">
        <f t="shared" ca="1" si="47"/>
        <v>0.9346938775510204</v>
      </c>
    </row>
    <row r="393" spans="1:15" x14ac:dyDescent="0.2">
      <c r="A393" t="str">
        <f ca="1">IFERROR(__xludf.DUMMYFUNCTION("""COMPUTED_VALUE"""),"mi")</f>
        <v>mi</v>
      </c>
      <c r="B393" t="str">
        <f ca="1">IFERROR(__xludf.DUMMYFUNCTION("""COMPUTED_VALUE"""),"Model 3 LR AWD")</f>
        <v>Model 3 LR AWD</v>
      </c>
      <c r="C393">
        <f ca="1">IFERROR(__xludf.DUMMYFUNCTION("""COMPUTED_VALUE"""),310)</f>
        <v>310</v>
      </c>
      <c r="D393">
        <f ca="1">IFERROR(__xludf.DUMMYFUNCTION("""COMPUTED_VALUE"""),7000)</f>
        <v>7000</v>
      </c>
      <c r="E393">
        <f ca="1">IFERROR(__xludf.DUMMYFUNCTION("""COMPUTED_VALUE"""),290)</f>
        <v>290</v>
      </c>
      <c r="F393">
        <v>310</v>
      </c>
      <c r="G393">
        <v>0.93548387096774188</v>
      </c>
      <c r="H393">
        <v>7000</v>
      </c>
      <c r="I393">
        <v>11265</v>
      </c>
      <c r="J393">
        <v>7000</v>
      </c>
      <c r="K393">
        <v>0.99239411476580641</v>
      </c>
      <c r="L393">
        <f ca="1">IFERROR(__xludf.DUMMYFUNCTION("""COMPUTED_VALUE"""),290)</f>
        <v>290</v>
      </c>
      <c r="M393">
        <v>310</v>
      </c>
      <c r="N393">
        <v>7000</v>
      </c>
      <c r="O393">
        <f t="shared" ca="1" si="47"/>
        <v>0.93548387096774188</v>
      </c>
    </row>
    <row r="394" spans="1:15" x14ac:dyDescent="0.2">
      <c r="A394" t="str">
        <f ca="1">IFERROR(__xludf.DUMMYFUNCTION("""COMPUTED_VALUE"""),"km")</f>
        <v>km</v>
      </c>
      <c r="B394" t="str">
        <f ca="1">IFERROR(__xludf.DUMMYFUNCTION("""COMPUTED_VALUE"""),"Model S P85D")</f>
        <v>Model S P85D</v>
      </c>
      <c r="C394">
        <f ca="1">IFERROR(__xludf.DUMMYFUNCTION("""COMPUTED_VALUE"""),406)</f>
        <v>406</v>
      </c>
      <c r="D394">
        <f ca="1">IFERROR(__xludf.DUMMYFUNCTION("""COMPUTED_VALUE"""),27279)</f>
        <v>27279</v>
      </c>
      <c r="E394">
        <f ca="1">IFERROR(__xludf.DUMMYFUNCTION("""COMPUTED_VALUE"""),377)</f>
        <v>377</v>
      </c>
      <c r="F394">
        <v>403</v>
      </c>
      <c r="G394">
        <v>0.93548387096774188</v>
      </c>
      <c r="H394">
        <v>16950</v>
      </c>
      <c r="I394">
        <v>27279</v>
      </c>
      <c r="J394">
        <v>16950</v>
      </c>
      <c r="K394">
        <v>0.98197843206830993</v>
      </c>
      <c r="L394">
        <f t="shared" ref="L394:M397" ca="1" si="48">E394*0.621371</f>
        <v>234.256867</v>
      </c>
      <c r="M394">
        <f t="shared" si="48"/>
        <v>250.41251299999999</v>
      </c>
      <c r="N394">
        <v>16950</v>
      </c>
      <c r="O394">
        <f t="shared" ca="1" si="47"/>
        <v>0.93548387096774199</v>
      </c>
    </row>
    <row r="395" spans="1:15" x14ac:dyDescent="0.2">
      <c r="A395" t="str">
        <f ca="1">IFERROR(__xludf.DUMMYFUNCTION("""COMPUTED_VALUE"""),"km")</f>
        <v>km</v>
      </c>
      <c r="B395" t="str">
        <f ca="1">IFERROR(__xludf.DUMMYFUNCTION("""COMPUTED_VALUE"""),"Model S P100D")</f>
        <v>Model S P100D</v>
      </c>
      <c r="D395">
        <f ca="1">IFERROR(__xludf.DUMMYFUNCTION("""COMPUTED_VALUE"""),64224)</f>
        <v>64224</v>
      </c>
      <c r="E395">
        <f ca="1">IFERROR(__xludf.DUMMYFUNCTION("""COMPUTED_VALUE"""),452)</f>
        <v>452</v>
      </c>
      <c r="F395">
        <v>483</v>
      </c>
      <c r="G395">
        <v>0.93581780538302273</v>
      </c>
      <c r="H395">
        <v>39907</v>
      </c>
      <c r="I395">
        <v>64224</v>
      </c>
      <c r="J395">
        <v>39907</v>
      </c>
      <c r="K395">
        <v>0.95976923507331913</v>
      </c>
      <c r="L395">
        <f t="shared" ca="1" si="48"/>
        <v>280.859692</v>
      </c>
      <c r="M395">
        <f t="shared" si="48"/>
        <v>300.12219299999998</v>
      </c>
      <c r="N395">
        <v>39907</v>
      </c>
      <c r="O395">
        <f t="shared" ca="1" si="47"/>
        <v>0.93581780538302284</v>
      </c>
    </row>
    <row r="396" spans="1:15" x14ac:dyDescent="0.2">
      <c r="A396" t="str">
        <f ca="1">IFERROR(__xludf.DUMMYFUNCTION("""COMPUTED_VALUE"""),"km")</f>
        <v>km</v>
      </c>
      <c r="B396" t="str">
        <f ca="1">IFERROR(__xludf.DUMMYFUNCTION("""COMPUTED_VALUE"""),"Model 3 LR AWD")</f>
        <v>Model 3 LR AWD</v>
      </c>
      <c r="C396">
        <f ca="1">IFERROR(__xludf.DUMMYFUNCTION("""COMPUTED_VALUE"""),499)</f>
        <v>499</v>
      </c>
      <c r="D396">
        <f ca="1">IFERROR(__xludf.DUMMYFUNCTION("""COMPUTED_VALUE"""),27500)</f>
        <v>27500</v>
      </c>
      <c r="E396">
        <f ca="1">IFERROR(__xludf.DUMMYFUNCTION("""COMPUTED_VALUE"""),467)</f>
        <v>467</v>
      </c>
      <c r="F396">
        <v>499</v>
      </c>
      <c r="G396">
        <v>0.93587174348697399</v>
      </c>
      <c r="H396">
        <v>17088</v>
      </c>
      <c r="I396">
        <v>27500</v>
      </c>
      <c r="J396">
        <v>17088</v>
      </c>
      <c r="K396">
        <v>0.98183798285751678</v>
      </c>
      <c r="L396">
        <f t="shared" ca="1" si="48"/>
        <v>290.18025699999998</v>
      </c>
      <c r="M396">
        <f t="shared" si="48"/>
        <v>310.06412899999998</v>
      </c>
      <c r="N396">
        <v>17088</v>
      </c>
      <c r="O396">
        <f t="shared" ca="1" si="47"/>
        <v>0.93587174348697399</v>
      </c>
    </row>
    <row r="397" spans="1:15" x14ac:dyDescent="0.2">
      <c r="A397" t="str">
        <f ca="1">IFERROR(__xludf.DUMMYFUNCTION("""COMPUTED_VALUE"""),"km")</f>
        <v>km</v>
      </c>
      <c r="B397" t="str">
        <f ca="1">IFERROR(__xludf.DUMMYFUNCTION("""COMPUTED_VALUE"""),"Model 3 P")</f>
        <v>Model 3 P</v>
      </c>
      <c r="D397">
        <f ca="1">IFERROR(__xludf.DUMMYFUNCTION("""COMPUTED_VALUE"""),54160)</f>
        <v>54160</v>
      </c>
      <c r="E397">
        <f ca="1">IFERROR(__xludf.DUMMYFUNCTION("""COMPUTED_VALUE"""),467)</f>
        <v>467</v>
      </c>
      <c r="F397">
        <v>499</v>
      </c>
      <c r="G397">
        <v>0.93587174348697399</v>
      </c>
      <c r="H397">
        <v>33653</v>
      </c>
      <c r="I397">
        <v>54160</v>
      </c>
      <c r="J397">
        <v>33653</v>
      </c>
      <c r="K397">
        <v>0.96556334081347461</v>
      </c>
      <c r="L397">
        <f t="shared" ca="1" si="48"/>
        <v>290.18025699999998</v>
      </c>
      <c r="M397">
        <f t="shared" si="48"/>
        <v>310.06412899999998</v>
      </c>
      <c r="N397">
        <v>33653</v>
      </c>
      <c r="O397">
        <f t="shared" ca="1" si="47"/>
        <v>0.93587174348697399</v>
      </c>
    </row>
    <row r="398" spans="1:15" x14ac:dyDescent="0.2">
      <c r="A398" t="str">
        <f ca="1">IFERROR(__xludf.DUMMYFUNCTION("""COMPUTED_VALUE"""),"mi")</f>
        <v>mi</v>
      </c>
      <c r="B398" t="str">
        <f ca="1">IFERROR(__xludf.DUMMYFUNCTION("""COMPUTED_VALUE"""),"Model S P85")</f>
        <v>Model S P85</v>
      </c>
      <c r="C398">
        <f ca="1">IFERROR(__xludf.DUMMYFUNCTION("""COMPUTED_VALUE"""),265)</f>
        <v>265</v>
      </c>
      <c r="D398">
        <f ca="1">IFERROR(__xludf.DUMMYFUNCTION("""COMPUTED_VALUE"""),70109)</f>
        <v>70109</v>
      </c>
      <c r="E398">
        <f ca="1">IFERROR(__xludf.DUMMYFUNCTION("""COMPUTED_VALUE"""),249)</f>
        <v>249</v>
      </c>
      <c r="F398">
        <v>266</v>
      </c>
      <c r="G398">
        <v>0.93609022556390975</v>
      </c>
      <c r="H398">
        <v>70109</v>
      </c>
      <c r="I398">
        <v>112829</v>
      </c>
      <c r="J398">
        <v>70109</v>
      </c>
      <c r="K398">
        <v>0.93457120344557709</v>
      </c>
      <c r="L398">
        <f ca="1">IFERROR(__xludf.DUMMYFUNCTION("""COMPUTED_VALUE"""),249)</f>
        <v>249</v>
      </c>
      <c r="M398">
        <v>266</v>
      </c>
      <c r="N398">
        <v>70109</v>
      </c>
      <c r="O398">
        <f t="shared" ca="1" si="47"/>
        <v>0.93609022556390975</v>
      </c>
    </row>
    <row r="399" spans="1:15" x14ac:dyDescent="0.2">
      <c r="A399" t="str">
        <f ca="1">IFERROR(__xludf.DUMMYFUNCTION("""COMPUTED_VALUE"""),"mi")</f>
        <v>mi</v>
      </c>
      <c r="B399" t="str">
        <f ca="1">IFERROR(__xludf.DUMMYFUNCTION("""COMPUTED_VALUE"""),"Model S P85")</f>
        <v>Model S P85</v>
      </c>
      <c r="C399">
        <f ca="1">IFERROR(__xludf.DUMMYFUNCTION("""COMPUTED_VALUE"""),260)</f>
        <v>260</v>
      </c>
      <c r="D399">
        <f ca="1">IFERROR(__xludf.DUMMYFUNCTION("""COMPUTED_VALUE"""),72029)</f>
        <v>72029</v>
      </c>
      <c r="E399">
        <f ca="1">IFERROR(__xludf.DUMMYFUNCTION("""COMPUTED_VALUE"""),249)</f>
        <v>249</v>
      </c>
      <c r="F399">
        <v>266</v>
      </c>
      <c r="G399">
        <v>0.93609022556390975</v>
      </c>
      <c r="H399">
        <v>72029</v>
      </c>
      <c r="I399">
        <v>115919</v>
      </c>
      <c r="J399">
        <v>72029</v>
      </c>
      <c r="K399">
        <v>0.93312897156669417</v>
      </c>
      <c r="L399">
        <f ca="1">IFERROR(__xludf.DUMMYFUNCTION("""COMPUTED_VALUE"""),249)</f>
        <v>249</v>
      </c>
      <c r="M399">
        <v>266</v>
      </c>
      <c r="N399">
        <v>72029</v>
      </c>
      <c r="O399">
        <f t="shared" ca="1" si="47"/>
        <v>0.93609022556390975</v>
      </c>
    </row>
    <row r="400" spans="1:15" x14ac:dyDescent="0.2">
      <c r="A400" t="str">
        <f ca="1">IFERROR(__xludf.DUMMYFUNCTION("""COMPUTED_VALUE"""),"mi")</f>
        <v>mi</v>
      </c>
      <c r="B400" t="str">
        <f ca="1">IFERROR(__xludf.DUMMYFUNCTION("""COMPUTED_VALUE"""),"Model S P85")</f>
        <v>Model S P85</v>
      </c>
      <c r="C400">
        <f ca="1">IFERROR(__xludf.DUMMYFUNCTION("""COMPUTED_VALUE"""),260)</f>
        <v>260</v>
      </c>
      <c r="D400">
        <f ca="1">IFERROR(__xludf.DUMMYFUNCTION("""COMPUTED_VALUE"""),66281)</f>
        <v>66281</v>
      </c>
      <c r="E400">
        <f ca="1">IFERROR(__xludf.DUMMYFUNCTION("""COMPUTED_VALUE"""),249)</f>
        <v>249</v>
      </c>
      <c r="F400">
        <v>266</v>
      </c>
      <c r="G400">
        <v>0.93609022556390975</v>
      </c>
      <c r="H400">
        <v>66281</v>
      </c>
      <c r="I400">
        <v>106669</v>
      </c>
      <c r="J400">
        <v>66281</v>
      </c>
      <c r="K400">
        <v>0.93750421648420468</v>
      </c>
      <c r="L400">
        <f ca="1">IFERROR(__xludf.DUMMYFUNCTION("""COMPUTED_VALUE"""),249)</f>
        <v>249</v>
      </c>
      <c r="M400">
        <v>266</v>
      </c>
      <c r="N400">
        <v>66281</v>
      </c>
      <c r="O400">
        <f t="shared" ca="1" si="47"/>
        <v>0.93609022556390975</v>
      </c>
    </row>
    <row r="401" spans="1:15" x14ac:dyDescent="0.2">
      <c r="A401" t="str">
        <f ca="1">IFERROR(__xludf.DUMMYFUNCTION("""COMPUTED_VALUE"""),"mi")</f>
        <v>mi</v>
      </c>
      <c r="B401" t="str">
        <f ca="1">IFERROR(__xludf.DUMMYFUNCTION("""COMPUTED_VALUE"""),"Model S P85")</f>
        <v>Model S P85</v>
      </c>
      <c r="C401">
        <f ca="1">IFERROR(__xludf.DUMMYFUNCTION("""COMPUTED_VALUE"""),268)</f>
        <v>268</v>
      </c>
      <c r="D401">
        <f ca="1">IFERROR(__xludf.DUMMYFUNCTION("""COMPUTED_VALUE"""),30389)</f>
        <v>30389</v>
      </c>
      <c r="E401">
        <f ca="1">IFERROR(__xludf.DUMMYFUNCTION("""COMPUTED_VALUE"""),249)</f>
        <v>249</v>
      </c>
      <c r="F401">
        <v>266</v>
      </c>
      <c r="G401">
        <v>0.93609022556390975</v>
      </c>
      <c r="H401">
        <v>30389</v>
      </c>
      <c r="I401">
        <v>48906</v>
      </c>
      <c r="J401">
        <v>30389</v>
      </c>
      <c r="K401">
        <v>0.96866492300106899</v>
      </c>
      <c r="L401">
        <f ca="1">IFERROR(__xludf.DUMMYFUNCTION("""COMPUTED_VALUE"""),249)</f>
        <v>249</v>
      </c>
      <c r="M401">
        <v>266</v>
      </c>
      <c r="N401">
        <v>30389</v>
      </c>
      <c r="O401">
        <f t="shared" ca="1" si="47"/>
        <v>0.93609022556390975</v>
      </c>
    </row>
    <row r="402" spans="1:15" x14ac:dyDescent="0.2">
      <c r="A402" t="str">
        <f ca="1">IFERROR(__xludf.DUMMYFUNCTION("""COMPUTED_VALUE"""),"km")</f>
        <v>km</v>
      </c>
      <c r="B402" t="str">
        <f ca="1">IFERROR(__xludf.DUMMYFUNCTION("""COMPUTED_VALUE"""),"Model S 85D")</f>
        <v>Model S 85D</v>
      </c>
      <c r="C402">
        <f ca="1">IFERROR(__xludf.DUMMYFUNCTION("""COMPUTED_VALUE"""),404)</f>
        <v>404</v>
      </c>
      <c r="D402">
        <f ca="1">IFERROR(__xludf.DUMMYFUNCTION("""COMPUTED_VALUE"""),18650)</f>
        <v>18650</v>
      </c>
      <c r="E402">
        <f ca="1">IFERROR(__xludf.DUMMYFUNCTION("""COMPUTED_VALUE"""),398)</f>
        <v>398</v>
      </c>
      <c r="F402">
        <v>425</v>
      </c>
      <c r="G402">
        <v>0.93647058823529417</v>
      </c>
      <c r="H402">
        <v>11589</v>
      </c>
      <c r="I402">
        <v>18650</v>
      </c>
      <c r="J402">
        <v>11589</v>
      </c>
      <c r="K402">
        <v>0.98753256215108409</v>
      </c>
      <c r="L402">
        <f t="shared" ref="L402:L422" ca="1" si="49">E402*0.621371</f>
        <v>247.30565799999999</v>
      </c>
      <c r="M402">
        <f t="shared" ref="M402:M422" si="50">F402*0.621371</f>
        <v>264.08267499999999</v>
      </c>
      <c r="N402">
        <v>11589</v>
      </c>
      <c r="O402">
        <f t="shared" ca="1" si="47"/>
        <v>0.93647058823529417</v>
      </c>
    </row>
    <row r="403" spans="1:15" x14ac:dyDescent="0.2">
      <c r="A403" t="str">
        <f ca="1">IFERROR(__xludf.DUMMYFUNCTION("""COMPUTED_VALUE"""),"km")</f>
        <v>km</v>
      </c>
      <c r="B403" t="str">
        <f ca="1">IFERROR(__xludf.DUMMYFUNCTION("""COMPUTED_VALUE"""),"Model S 85")</f>
        <v>Model S 85</v>
      </c>
      <c r="D403">
        <f ca="1">IFERROR(__xludf.DUMMYFUNCTION("""COMPUTED_VALUE"""),88704)</f>
        <v>88704</v>
      </c>
      <c r="E403">
        <f ca="1">IFERROR(__xludf.DUMMYFUNCTION("""COMPUTED_VALUE"""),370)</f>
        <v>370</v>
      </c>
      <c r="F403">
        <v>395</v>
      </c>
      <c r="G403">
        <v>0.93670886075949367</v>
      </c>
      <c r="H403">
        <v>55118</v>
      </c>
      <c r="I403">
        <v>88704</v>
      </c>
      <c r="J403">
        <v>55118</v>
      </c>
      <c r="K403">
        <v>0.94649382181512554</v>
      </c>
      <c r="L403">
        <f t="shared" ca="1" si="49"/>
        <v>229.90727000000001</v>
      </c>
      <c r="M403">
        <f t="shared" si="50"/>
        <v>245.44154499999999</v>
      </c>
      <c r="N403">
        <v>55118</v>
      </c>
      <c r="O403">
        <f t="shared" ca="1" si="47"/>
        <v>0.93670886075949378</v>
      </c>
    </row>
    <row r="404" spans="1:15" x14ac:dyDescent="0.2">
      <c r="A404" t="str">
        <f ca="1">IFERROR(__xludf.DUMMYFUNCTION("""COMPUTED_VALUE"""),"km")</f>
        <v>km</v>
      </c>
      <c r="B404" t="str">
        <f ca="1">IFERROR(__xludf.DUMMYFUNCTION("""COMPUTED_VALUE"""),"Model S 85")</f>
        <v>Model S 85</v>
      </c>
      <c r="D404">
        <f ca="1">IFERROR(__xludf.DUMMYFUNCTION("""COMPUTED_VALUE"""),191664)</f>
        <v>191664</v>
      </c>
      <c r="E404">
        <f ca="1">IFERROR(__xludf.DUMMYFUNCTION("""COMPUTED_VALUE"""),370)</f>
        <v>370</v>
      </c>
      <c r="F404">
        <v>395</v>
      </c>
      <c r="G404">
        <v>0.93670886075949367</v>
      </c>
      <c r="H404">
        <v>119094</v>
      </c>
      <c r="I404">
        <v>191664</v>
      </c>
      <c r="J404">
        <v>119094</v>
      </c>
      <c r="K404">
        <v>0.90404135215927828</v>
      </c>
      <c r="L404">
        <f t="shared" ca="1" si="49"/>
        <v>229.90727000000001</v>
      </c>
      <c r="M404">
        <f t="shared" si="50"/>
        <v>245.44154499999999</v>
      </c>
      <c r="N404">
        <v>119094</v>
      </c>
      <c r="O404">
        <f t="shared" ca="1" si="47"/>
        <v>0.93670886075949378</v>
      </c>
    </row>
    <row r="405" spans="1:15" x14ac:dyDescent="0.2">
      <c r="A405" t="str">
        <f ca="1">IFERROR(__xludf.DUMMYFUNCTION("""COMPUTED_VALUE"""),"km")</f>
        <v>km</v>
      </c>
      <c r="B405" t="str">
        <f ca="1">IFERROR(__xludf.DUMMYFUNCTION("""COMPUTED_VALUE"""),"Model S 85")</f>
        <v>Model S 85</v>
      </c>
      <c r="D405">
        <f ca="1">IFERROR(__xludf.DUMMYFUNCTION("""COMPUTED_VALUE"""),199400)</f>
        <v>199400</v>
      </c>
      <c r="E405">
        <f ca="1">IFERROR(__xludf.DUMMYFUNCTION("""COMPUTED_VALUE"""),370)</f>
        <v>370</v>
      </c>
      <c r="F405">
        <v>395</v>
      </c>
      <c r="G405">
        <v>0.93670886075949367</v>
      </c>
      <c r="H405">
        <v>123901</v>
      </c>
      <c r="I405">
        <v>199400</v>
      </c>
      <c r="J405">
        <v>123901</v>
      </c>
      <c r="K405">
        <v>0.90177079463175547</v>
      </c>
      <c r="L405">
        <f t="shared" ca="1" si="49"/>
        <v>229.90727000000001</v>
      </c>
      <c r="M405">
        <f t="shared" si="50"/>
        <v>245.44154499999999</v>
      </c>
      <c r="N405">
        <v>123901</v>
      </c>
      <c r="O405">
        <f t="shared" ca="1" si="47"/>
        <v>0.93670886075949378</v>
      </c>
    </row>
    <row r="406" spans="1:15" x14ac:dyDescent="0.2">
      <c r="A406" t="str">
        <f ca="1">IFERROR(__xludf.DUMMYFUNCTION("""COMPUTED_VALUE"""),"km")</f>
        <v>km</v>
      </c>
      <c r="B406" t="str">
        <f ca="1">IFERROR(__xludf.DUMMYFUNCTION("""COMPUTED_VALUE"""),"Model S 85")</f>
        <v>Model S 85</v>
      </c>
      <c r="C406">
        <f ca="1">IFERROR(__xludf.DUMMYFUNCTION("""COMPUTED_VALUE"""),400)</f>
        <v>400</v>
      </c>
      <c r="D406">
        <f ca="1">IFERROR(__xludf.DUMMYFUNCTION("""COMPUTED_VALUE"""),209618)</f>
        <v>209618</v>
      </c>
      <c r="E406">
        <f ca="1">IFERROR(__xludf.DUMMYFUNCTION("""COMPUTED_VALUE"""),370)</f>
        <v>370</v>
      </c>
      <c r="F406">
        <v>395</v>
      </c>
      <c r="G406">
        <v>0.93670886075949367</v>
      </c>
      <c r="H406">
        <v>130251</v>
      </c>
      <c r="I406">
        <v>209618</v>
      </c>
      <c r="J406">
        <v>130251</v>
      </c>
      <c r="K406">
        <v>0.89897780304021979</v>
      </c>
      <c r="L406">
        <f t="shared" ca="1" si="49"/>
        <v>229.90727000000001</v>
      </c>
      <c r="M406">
        <f t="shared" si="50"/>
        <v>245.44154499999999</v>
      </c>
      <c r="N406">
        <v>130251</v>
      </c>
      <c r="O406">
        <f t="shared" ca="1" si="47"/>
        <v>0.93670886075949378</v>
      </c>
    </row>
    <row r="407" spans="1:15" x14ac:dyDescent="0.2">
      <c r="A407" t="str">
        <f ca="1">IFERROR(__xludf.DUMMYFUNCTION("""COMPUTED_VALUE"""),"km")</f>
        <v>km</v>
      </c>
      <c r="B407" t="str">
        <f ca="1">IFERROR(__xludf.DUMMYFUNCTION("""COMPUTED_VALUE"""),"Model S 85")</f>
        <v>Model S 85</v>
      </c>
      <c r="D407">
        <f ca="1">IFERROR(__xludf.DUMMYFUNCTION("""COMPUTED_VALUE"""),125000)</f>
        <v>125000</v>
      </c>
      <c r="E407">
        <f ca="1">IFERROR(__xludf.DUMMYFUNCTION("""COMPUTED_VALUE"""),370)</f>
        <v>370</v>
      </c>
      <c r="F407">
        <v>395</v>
      </c>
      <c r="G407">
        <v>0.93670886075949367</v>
      </c>
      <c r="H407">
        <v>77671</v>
      </c>
      <c r="I407">
        <v>125000</v>
      </c>
      <c r="J407">
        <v>77671</v>
      </c>
      <c r="K407">
        <v>0.92900355051766637</v>
      </c>
      <c r="L407">
        <f t="shared" ca="1" si="49"/>
        <v>229.90727000000001</v>
      </c>
      <c r="M407">
        <f t="shared" si="50"/>
        <v>245.44154499999999</v>
      </c>
      <c r="N407">
        <v>77671</v>
      </c>
      <c r="O407">
        <f t="shared" ca="1" si="47"/>
        <v>0.93670886075949378</v>
      </c>
    </row>
    <row r="408" spans="1:15" x14ac:dyDescent="0.2">
      <c r="A408" t="str">
        <f ca="1">IFERROR(__xludf.DUMMYFUNCTION("""COMPUTED_VALUE"""),"km")</f>
        <v>km</v>
      </c>
      <c r="B408" t="str">
        <f ca="1">IFERROR(__xludf.DUMMYFUNCTION("""COMPUTED_VALUE"""),"Model S 85")</f>
        <v>Model S 85</v>
      </c>
      <c r="C408">
        <f ca="1">IFERROR(__xludf.DUMMYFUNCTION("""COMPUTED_VALUE"""),396)</f>
        <v>396</v>
      </c>
      <c r="D408">
        <f ca="1">IFERROR(__xludf.DUMMYFUNCTION("""COMPUTED_VALUE"""),157556)</f>
        <v>157556</v>
      </c>
      <c r="E408">
        <f ca="1">IFERROR(__xludf.DUMMYFUNCTION("""COMPUTED_VALUE"""),370)</f>
        <v>370</v>
      </c>
      <c r="F408">
        <v>395</v>
      </c>
      <c r="G408">
        <v>0.93670886075949367</v>
      </c>
      <c r="H408">
        <v>97901</v>
      </c>
      <c r="I408">
        <v>157556</v>
      </c>
      <c r="J408">
        <v>97901</v>
      </c>
      <c r="K408">
        <v>0.91562400565402235</v>
      </c>
      <c r="L408">
        <f t="shared" ca="1" si="49"/>
        <v>229.90727000000001</v>
      </c>
      <c r="M408">
        <f t="shared" si="50"/>
        <v>245.44154499999999</v>
      </c>
      <c r="N408">
        <v>97901</v>
      </c>
      <c r="O408">
        <f t="shared" ca="1" si="47"/>
        <v>0.93670886075949378</v>
      </c>
    </row>
    <row r="409" spans="1:15" x14ac:dyDescent="0.2">
      <c r="A409" t="str">
        <f ca="1">IFERROR(__xludf.DUMMYFUNCTION("""COMPUTED_VALUE"""),"km")</f>
        <v>km</v>
      </c>
      <c r="B409" t="str">
        <f ca="1">IFERROR(__xludf.DUMMYFUNCTION("""COMPUTED_VALUE"""),"Model S 85")</f>
        <v>Model S 85</v>
      </c>
      <c r="D409">
        <f ca="1">IFERROR(__xludf.DUMMYFUNCTION("""COMPUTED_VALUE"""),145128)</f>
        <v>145128</v>
      </c>
      <c r="E409">
        <f ca="1">IFERROR(__xludf.DUMMYFUNCTION("""COMPUTED_VALUE"""),370)</f>
        <v>370</v>
      </c>
      <c r="F409">
        <v>395</v>
      </c>
      <c r="G409">
        <v>0.93670886075949367</v>
      </c>
      <c r="H409">
        <v>90178</v>
      </c>
      <c r="I409">
        <v>145128</v>
      </c>
      <c r="J409">
        <v>90178</v>
      </c>
      <c r="K409">
        <v>0.92046838587810154</v>
      </c>
      <c r="L409">
        <f t="shared" ca="1" si="49"/>
        <v>229.90727000000001</v>
      </c>
      <c r="M409">
        <f t="shared" si="50"/>
        <v>245.44154499999999</v>
      </c>
      <c r="N409">
        <v>90178</v>
      </c>
      <c r="O409">
        <f t="shared" ca="1" si="47"/>
        <v>0.93670886075949378</v>
      </c>
    </row>
    <row r="410" spans="1:15" x14ac:dyDescent="0.2">
      <c r="A410" t="str">
        <f ca="1">IFERROR(__xludf.DUMMYFUNCTION("""COMPUTED_VALUE"""),"km")</f>
        <v>km</v>
      </c>
      <c r="B410" t="str">
        <f ca="1">IFERROR(__xludf.DUMMYFUNCTION("""COMPUTED_VALUE"""),"Model S P85+")</f>
        <v>Model S P85+</v>
      </c>
      <c r="C410">
        <f ca="1">IFERROR(__xludf.DUMMYFUNCTION("""COMPUTED_VALUE"""),400)</f>
        <v>400</v>
      </c>
      <c r="D410">
        <f ca="1">IFERROR(__xludf.DUMMYFUNCTION("""COMPUTED_VALUE"""),127974)</f>
        <v>127974</v>
      </c>
      <c r="E410">
        <f ca="1">IFERROR(__xludf.DUMMYFUNCTION("""COMPUTED_VALUE"""),370)</f>
        <v>370</v>
      </c>
      <c r="F410">
        <v>395</v>
      </c>
      <c r="G410">
        <v>0.93670886075949367</v>
      </c>
      <c r="H410">
        <v>79519</v>
      </c>
      <c r="I410">
        <v>127974</v>
      </c>
      <c r="J410">
        <v>79519</v>
      </c>
      <c r="K410">
        <v>0.92768937245853422</v>
      </c>
      <c r="L410">
        <f t="shared" ca="1" si="49"/>
        <v>229.90727000000001</v>
      </c>
      <c r="M410">
        <f t="shared" si="50"/>
        <v>245.44154499999999</v>
      </c>
      <c r="N410">
        <v>79519</v>
      </c>
      <c r="O410">
        <f t="shared" ca="1" si="47"/>
        <v>0.93670886075949378</v>
      </c>
    </row>
    <row r="411" spans="1:15" x14ac:dyDescent="0.2">
      <c r="A411" t="str">
        <f ca="1">IFERROR(__xludf.DUMMYFUNCTION("""COMPUTED_VALUE"""),"km")</f>
        <v>km</v>
      </c>
      <c r="B411" t="str">
        <f ca="1">IFERROR(__xludf.DUMMYFUNCTION("""COMPUTED_VALUE"""),"Model S P85")</f>
        <v>Model S P85</v>
      </c>
      <c r="D411">
        <f ca="1">IFERROR(__xludf.DUMMYFUNCTION("""COMPUTED_VALUE"""),231000)</f>
        <v>231000</v>
      </c>
      <c r="E411">
        <f ca="1">IFERROR(__xludf.DUMMYFUNCTION("""COMPUTED_VALUE"""),370)</f>
        <v>370</v>
      </c>
      <c r="F411">
        <v>395</v>
      </c>
      <c r="G411">
        <v>0.93670886075949367</v>
      </c>
      <c r="H411">
        <v>143537</v>
      </c>
      <c r="I411">
        <v>231000</v>
      </c>
      <c r="J411">
        <v>143537</v>
      </c>
      <c r="K411">
        <v>0.89390351611469776</v>
      </c>
      <c r="L411">
        <f t="shared" ca="1" si="49"/>
        <v>229.90727000000001</v>
      </c>
      <c r="M411">
        <f t="shared" si="50"/>
        <v>245.44154499999999</v>
      </c>
      <c r="N411">
        <v>143537</v>
      </c>
      <c r="O411">
        <f t="shared" ca="1" si="47"/>
        <v>0.93670886075949378</v>
      </c>
    </row>
    <row r="412" spans="1:15" x14ac:dyDescent="0.2">
      <c r="A412" t="str">
        <f ca="1">IFERROR(__xludf.DUMMYFUNCTION("""COMPUTED_VALUE"""),"km")</f>
        <v>km</v>
      </c>
      <c r="B412" t="str">
        <f ca="1">IFERROR(__xludf.DUMMYFUNCTION("""COMPUTED_VALUE"""),"Model S 85")</f>
        <v>Model S 85</v>
      </c>
      <c r="D412">
        <f ca="1">IFERROR(__xludf.DUMMYFUNCTION("""COMPUTED_VALUE"""),28805)</f>
        <v>28805</v>
      </c>
      <c r="E412">
        <f ca="1">IFERROR(__xludf.DUMMYFUNCTION("""COMPUTED_VALUE"""),370)</f>
        <v>370</v>
      </c>
      <c r="F412">
        <v>395</v>
      </c>
      <c r="G412">
        <v>0.93670886075949367</v>
      </c>
      <c r="H412">
        <v>17899</v>
      </c>
      <c r="I412">
        <v>28805</v>
      </c>
      <c r="J412">
        <v>17899</v>
      </c>
      <c r="K412">
        <v>0.98101047256810425</v>
      </c>
      <c r="L412">
        <f t="shared" ca="1" si="49"/>
        <v>229.90727000000001</v>
      </c>
      <c r="M412">
        <f t="shared" si="50"/>
        <v>245.44154499999999</v>
      </c>
      <c r="N412">
        <v>17899</v>
      </c>
      <c r="O412">
        <f t="shared" ca="1" si="47"/>
        <v>0.93670886075949378</v>
      </c>
    </row>
    <row r="413" spans="1:15" x14ac:dyDescent="0.2">
      <c r="A413" t="str">
        <f ca="1">IFERROR(__xludf.DUMMYFUNCTION("""COMPUTED_VALUE"""),"km")</f>
        <v>km</v>
      </c>
      <c r="B413" t="str">
        <f ca="1">IFERROR(__xludf.DUMMYFUNCTION("""COMPUTED_VALUE"""),"Model S P85")</f>
        <v>Model S P85</v>
      </c>
      <c r="C413">
        <f ca="1">IFERROR(__xludf.DUMMYFUNCTION("""COMPUTED_VALUE"""),382)</f>
        <v>382</v>
      </c>
      <c r="D413">
        <f ca="1">IFERROR(__xludf.DUMMYFUNCTION("""COMPUTED_VALUE"""),64000)</f>
        <v>64000</v>
      </c>
      <c r="E413">
        <f ca="1">IFERROR(__xludf.DUMMYFUNCTION("""COMPUTED_VALUE"""),370)</f>
        <v>370</v>
      </c>
      <c r="F413">
        <v>395</v>
      </c>
      <c r="G413">
        <v>0.93670886075949367</v>
      </c>
      <c r="H413">
        <v>39768</v>
      </c>
      <c r="I413">
        <v>64000</v>
      </c>
      <c r="J413">
        <v>39768</v>
      </c>
      <c r="K413">
        <v>0.95989608453925312</v>
      </c>
      <c r="L413">
        <f t="shared" ca="1" si="49"/>
        <v>229.90727000000001</v>
      </c>
      <c r="M413">
        <f t="shared" si="50"/>
        <v>245.44154499999999</v>
      </c>
      <c r="N413">
        <v>39768</v>
      </c>
      <c r="O413">
        <f t="shared" ca="1" si="47"/>
        <v>0.93670886075949378</v>
      </c>
    </row>
    <row r="414" spans="1:15" x14ac:dyDescent="0.2">
      <c r="A414" t="str">
        <f ca="1">IFERROR(__xludf.DUMMYFUNCTION("""COMPUTED_VALUE"""),"km")</f>
        <v>km</v>
      </c>
      <c r="B414" t="str">
        <f ca="1">IFERROR(__xludf.DUMMYFUNCTION("""COMPUTED_VALUE"""),"Model S P85+")</f>
        <v>Model S P85+</v>
      </c>
      <c r="C414">
        <f ca="1">IFERROR(__xludf.DUMMYFUNCTION("""COMPUTED_VALUE"""),400)</f>
        <v>400</v>
      </c>
      <c r="D414">
        <f ca="1">IFERROR(__xludf.DUMMYFUNCTION("""COMPUTED_VALUE"""),81620)</f>
        <v>81620</v>
      </c>
      <c r="E414">
        <f ca="1">IFERROR(__xludf.DUMMYFUNCTION("""COMPUTED_VALUE"""),370)</f>
        <v>370</v>
      </c>
      <c r="F414">
        <v>395</v>
      </c>
      <c r="G414">
        <v>0.93670886075949367</v>
      </c>
      <c r="H414">
        <v>50716</v>
      </c>
      <c r="I414">
        <v>81620</v>
      </c>
      <c r="J414">
        <v>50716</v>
      </c>
      <c r="K414">
        <v>0.95021494715045463</v>
      </c>
      <c r="L414">
        <f t="shared" ca="1" si="49"/>
        <v>229.90727000000001</v>
      </c>
      <c r="M414">
        <f t="shared" si="50"/>
        <v>245.44154499999999</v>
      </c>
      <c r="N414">
        <v>50716</v>
      </c>
      <c r="O414">
        <f t="shared" ca="1" si="47"/>
        <v>0.93670886075949378</v>
      </c>
    </row>
    <row r="415" spans="1:15" x14ac:dyDescent="0.2">
      <c r="A415" t="str">
        <f ca="1">IFERROR(__xludf.DUMMYFUNCTION("""COMPUTED_VALUE"""),"km")</f>
        <v>km</v>
      </c>
      <c r="B415" t="str">
        <f ca="1">IFERROR(__xludf.DUMMYFUNCTION("""COMPUTED_VALUE"""),"Model S P85")</f>
        <v>Model S P85</v>
      </c>
      <c r="C415">
        <f ca="1">IFERROR(__xludf.DUMMYFUNCTION("""COMPUTED_VALUE"""),401)</f>
        <v>401</v>
      </c>
      <c r="D415">
        <f ca="1">IFERROR(__xludf.DUMMYFUNCTION("""COMPUTED_VALUE"""),124004)</f>
        <v>124004</v>
      </c>
      <c r="E415">
        <f ca="1">IFERROR(__xludf.DUMMYFUNCTION("""COMPUTED_VALUE"""),370)</f>
        <v>370</v>
      </c>
      <c r="F415">
        <v>395</v>
      </c>
      <c r="G415">
        <v>0.93670886075949367</v>
      </c>
      <c r="H415">
        <v>77053</v>
      </c>
      <c r="I415">
        <v>124004</v>
      </c>
      <c r="J415">
        <v>77053</v>
      </c>
      <c r="K415">
        <v>0.92944775255143863</v>
      </c>
      <c r="L415">
        <f t="shared" ca="1" si="49"/>
        <v>229.90727000000001</v>
      </c>
      <c r="M415">
        <f t="shared" si="50"/>
        <v>245.44154499999999</v>
      </c>
      <c r="N415">
        <v>77053</v>
      </c>
      <c r="O415">
        <f t="shared" ca="1" si="47"/>
        <v>0.93670886075949378</v>
      </c>
    </row>
    <row r="416" spans="1:15" x14ac:dyDescent="0.2">
      <c r="A416" t="str">
        <f ca="1">IFERROR(__xludf.DUMMYFUNCTION("""COMPUTED_VALUE"""),"km")</f>
        <v>km</v>
      </c>
      <c r="B416" t="str">
        <f ca="1">IFERROR(__xludf.DUMMYFUNCTION("""COMPUTED_VALUE"""),"Model S P85")</f>
        <v>Model S P85</v>
      </c>
      <c r="C416">
        <f ca="1">IFERROR(__xludf.DUMMYFUNCTION("""COMPUTED_VALUE"""),400)</f>
        <v>400</v>
      </c>
      <c r="D416">
        <f ca="1">IFERROR(__xludf.DUMMYFUNCTION("""COMPUTED_VALUE"""),54971)</f>
        <v>54971</v>
      </c>
      <c r="E416">
        <f ca="1">IFERROR(__xludf.DUMMYFUNCTION("""COMPUTED_VALUE"""),370)</f>
        <v>370</v>
      </c>
      <c r="F416">
        <v>395</v>
      </c>
      <c r="G416">
        <v>0.93670886075949367</v>
      </c>
      <c r="H416">
        <v>34157</v>
      </c>
      <c r="I416">
        <v>54971</v>
      </c>
      <c r="J416">
        <v>34157</v>
      </c>
      <c r="K416">
        <v>0.96508925732081763</v>
      </c>
      <c r="L416">
        <f t="shared" ca="1" si="49"/>
        <v>229.90727000000001</v>
      </c>
      <c r="M416">
        <f t="shared" si="50"/>
        <v>245.44154499999999</v>
      </c>
      <c r="N416">
        <v>34157</v>
      </c>
      <c r="O416">
        <f t="shared" ca="1" si="47"/>
        <v>0.93670886075949378</v>
      </c>
    </row>
    <row r="417" spans="1:15" x14ac:dyDescent="0.2">
      <c r="A417" t="str">
        <f ca="1">IFERROR(__xludf.DUMMYFUNCTION("""COMPUTED_VALUE"""),"km")</f>
        <v>km</v>
      </c>
      <c r="B417" t="str">
        <f ca="1">IFERROR(__xludf.DUMMYFUNCTION("""COMPUTED_VALUE"""),"Model S 85")</f>
        <v>Model S 85</v>
      </c>
      <c r="C417">
        <f ca="1">IFERROR(__xludf.DUMMYFUNCTION("""COMPUTED_VALUE"""),400)</f>
        <v>400</v>
      </c>
      <c r="D417">
        <f ca="1">IFERROR(__xludf.DUMMYFUNCTION("""COMPUTED_VALUE"""),64000)</f>
        <v>64000</v>
      </c>
      <c r="E417">
        <f ca="1">IFERROR(__xludf.DUMMYFUNCTION("""COMPUTED_VALUE"""),370)</f>
        <v>370</v>
      </c>
      <c r="F417">
        <v>395</v>
      </c>
      <c r="G417">
        <v>0.93670886075949367</v>
      </c>
      <c r="H417">
        <v>39768</v>
      </c>
      <c r="I417">
        <v>64000</v>
      </c>
      <c r="J417">
        <v>39768</v>
      </c>
      <c r="K417">
        <v>0.95989608453925312</v>
      </c>
      <c r="L417">
        <f t="shared" ca="1" si="49"/>
        <v>229.90727000000001</v>
      </c>
      <c r="M417">
        <f t="shared" si="50"/>
        <v>245.44154499999999</v>
      </c>
      <c r="N417">
        <v>39768</v>
      </c>
      <c r="O417">
        <f t="shared" ca="1" si="47"/>
        <v>0.93670886075949378</v>
      </c>
    </row>
    <row r="418" spans="1:15" x14ac:dyDescent="0.2">
      <c r="A418" t="str">
        <f ca="1">IFERROR(__xludf.DUMMYFUNCTION("""COMPUTED_VALUE"""),"km")</f>
        <v>km</v>
      </c>
      <c r="B418" t="str">
        <f ca="1">IFERROR(__xludf.DUMMYFUNCTION("""COMPUTED_VALUE"""),"Model S P85")</f>
        <v>Model S P85</v>
      </c>
      <c r="D418">
        <f ca="1">IFERROR(__xludf.DUMMYFUNCTION("""COMPUTED_VALUE"""),96560)</f>
        <v>96560</v>
      </c>
      <c r="E418">
        <f ca="1">IFERROR(__xludf.DUMMYFUNCTION("""COMPUTED_VALUE"""),370)</f>
        <v>370</v>
      </c>
      <c r="F418">
        <v>395</v>
      </c>
      <c r="G418">
        <v>0.93670886075949367</v>
      </c>
      <c r="H418">
        <v>60000</v>
      </c>
      <c r="I418">
        <v>96560</v>
      </c>
      <c r="J418">
        <v>60000</v>
      </c>
      <c r="K418">
        <v>0.94248335453490362</v>
      </c>
      <c r="L418">
        <f t="shared" ca="1" si="49"/>
        <v>229.90727000000001</v>
      </c>
      <c r="M418">
        <f t="shared" si="50"/>
        <v>245.44154499999999</v>
      </c>
      <c r="N418">
        <v>60000</v>
      </c>
      <c r="O418">
        <f t="shared" ca="1" si="47"/>
        <v>0.93670886075949378</v>
      </c>
    </row>
    <row r="419" spans="1:15" x14ac:dyDescent="0.2">
      <c r="A419" t="str">
        <f ca="1">IFERROR(__xludf.DUMMYFUNCTION("""COMPUTED_VALUE"""),"km")</f>
        <v>km</v>
      </c>
      <c r="B419" t="str">
        <f ca="1">IFERROR(__xludf.DUMMYFUNCTION("""COMPUTED_VALUE"""),"Model S 85")</f>
        <v>Model S 85</v>
      </c>
      <c r="C419">
        <f ca="1">IFERROR(__xludf.DUMMYFUNCTION("""COMPUTED_VALUE"""),399)</f>
        <v>399</v>
      </c>
      <c r="D419">
        <f ca="1">IFERROR(__xludf.DUMMYFUNCTION("""COMPUTED_VALUE"""),70030)</f>
        <v>70030</v>
      </c>
      <c r="E419">
        <f ca="1">IFERROR(__xludf.DUMMYFUNCTION("""COMPUTED_VALUE"""),370)</f>
        <v>370</v>
      </c>
      <c r="F419">
        <v>395</v>
      </c>
      <c r="G419">
        <v>0.93670886075949367</v>
      </c>
      <c r="H419">
        <v>43515</v>
      </c>
      <c r="I419">
        <v>70030</v>
      </c>
      <c r="J419">
        <v>43515</v>
      </c>
      <c r="K419">
        <v>0.95651510881213531</v>
      </c>
      <c r="L419">
        <f t="shared" ca="1" si="49"/>
        <v>229.90727000000001</v>
      </c>
      <c r="M419">
        <f t="shared" si="50"/>
        <v>245.44154499999999</v>
      </c>
      <c r="N419">
        <v>43515</v>
      </c>
      <c r="O419">
        <f t="shared" ca="1" si="47"/>
        <v>0.93670886075949378</v>
      </c>
    </row>
    <row r="420" spans="1:15" x14ac:dyDescent="0.2">
      <c r="A420" t="str">
        <f ca="1">IFERROR(__xludf.DUMMYFUNCTION("""COMPUTED_VALUE"""),"km")</f>
        <v>km</v>
      </c>
      <c r="B420" t="str">
        <f ca="1">IFERROR(__xludf.DUMMYFUNCTION("""COMPUTED_VALUE"""),"Model S P85")</f>
        <v>Model S P85</v>
      </c>
      <c r="D420">
        <f ca="1">IFERROR(__xludf.DUMMYFUNCTION("""COMPUTED_VALUE"""),94500)</f>
        <v>94500</v>
      </c>
      <c r="E420">
        <f ca="1">IFERROR(__xludf.DUMMYFUNCTION("""COMPUTED_VALUE"""),370)</f>
        <v>370</v>
      </c>
      <c r="F420">
        <v>395</v>
      </c>
      <c r="G420">
        <v>0.93670886075949367</v>
      </c>
      <c r="H420">
        <v>58720</v>
      </c>
      <c r="I420">
        <v>94500</v>
      </c>
      <c r="J420">
        <v>58720</v>
      </c>
      <c r="K420">
        <v>0.94352310268631401</v>
      </c>
      <c r="L420">
        <f t="shared" ca="1" si="49"/>
        <v>229.90727000000001</v>
      </c>
      <c r="M420">
        <f t="shared" si="50"/>
        <v>245.44154499999999</v>
      </c>
      <c r="N420">
        <v>58720</v>
      </c>
      <c r="O420">
        <f t="shared" ca="1" si="47"/>
        <v>0.93670886075949378</v>
      </c>
    </row>
    <row r="421" spans="1:15" x14ac:dyDescent="0.2">
      <c r="A421" t="str">
        <f ca="1">IFERROR(__xludf.DUMMYFUNCTION("""COMPUTED_VALUE"""),"km")</f>
        <v>km</v>
      </c>
      <c r="B421" t="str">
        <f ca="1">IFERROR(__xludf.DUMMYFUNCTION("""COMPUTED_VALUE"""),"Model S 85")</f>
        <v>Model S 85</v>
      </c>
      <c r="D421">
        <f ca="1">IFERROR(__xludf.DUMMYFUNCTION("""COMPUTED_VALUE"""),71820)</f>
        <v>71820</v>
      </c>
      <c r="E421">
        <f ca="1">IFERROR(__xludf.DUMMYFUNCTION("""COMPUTED_VALUE"""),370)</f>
        <v>370</v>
      </c>
      <c r="F421">
        <v>395</v>
      </c>
      <c r="G421">
        <v>0.93670886075949367</v>
      </c>
      <c r="H421">
        <v>44627</v>
      </c>
      <c r="I421">
        <v>71820</v>
      </c>
      <c r="J421">
        <v>44627</v>
      </c>
      <c r="K421">
        <v>0.95552500871194224</v>
      </c>
      <c r="L421">
        <f t="shared" ca="1" si="49"/>
        <v>229.90727000000001</v>
      </c>
      <c r="M421">
        <f t="shared" si="50"/>
        <v>245.44154499999999</v>
      </c>
      <c r="N421">
        <v>44627</v>
      </c>
      <c r="O421">
        <f t="shared" ca="1" si="47"/>
        <v>0.93670886075949378</v>
      </c>
    </row>
    <row r="422" spans="1:15" x14ac:dyDescent="0.2">
      <c r="A422" t="str">
        <f ca="1">IFERROR(__xludf.DUMMYFUNCTION("""COMPUTED_VALUE"""),"km")</f>
        <v>km</v>
      </c>
      <c r="B422" t="str">
        <f ca="1">IFERROR(__xludf.DUMMYFUNCTION("""COMPUTED_VALUE"""),"Model S 85")</f>
        <v>Model S 85</v>
      </c>
      <c r="D422">
        <f ca="1">IFERROR(__xludf.DUMMYFUNCTION("""COMPUTED_VALUE"""),117272)</f>
        <v>117272</v>
      </c>
      <c r="E422">
        <f ca="1">IFERROR(__xludf.DUMMYFUNCTION("""COMPUTED_VALUE"""),401)</f>
        <v>401</v>
      </c>
      <c r="F422">
        <v>428</v>
      </c>
      <c r="G422">
        <v>0.93691588785046731</v>
      </c>
      <c r="H422">
        <v>72869</v>
      </c>
      <c r="I422">
        <v>117272</v>
      </c>
      <c r="J422">
        <v>72869</v>
      </c>
      <c r="K422">
        <v>0.93250360134050592</v>
      </c>
      <c r="L422">
        <f t="shared" ca="1" si="49"/>
        <v>249.169771</v>
      </c>
      <c r="M422">
        <f t="shared" si="50"/>
        <v>265.94678800000003</v>
      </c>
      <c r="N422">
        <v>72869</v>
      </c>
      <c r="O422">
        <f t="shared" ca="1" si="47"/>
        <v>0.9369158878504672</v>
      </c>
    </row>
    <row r="423" spans="1:15" x14ac:dyDescent="0.2">
      <c r="A423" t="str">
        <f ca="1">IFERROR(__xludf.DUMMYFUNCTION("""COMPUTED_VALUE"""),"mi")</f>
        <v>mi</v>
      </c>
      <c r="B423" t="str">
        <f ca="1">IFERROR(__xludf.DUMMYFUNCTION("""COMPUTED_VALUE"""),"Model S 60")</f>
        <v>Model S 60</v>
      </c>
      <c r="C423">
        <f ca="1">IFERROR(__xludf.DUMMYFUNCTION("""COMPUTED_VALUE"""),208)</f>
        <v>208</v>
      </c>
      <c r="D423">
        <f ca="1">IFERROR(__xludf.DUMMYFUNCTION("""COMPUTED_VALUE"""),85500)</f>
        <v>85500</v>
      </c>
      <c r="E423">
        <f ca="1">IFERROR(__xludf.DUMMYFUNCTION("""COMPUTED_VALUE"""),194)</f>
        <v>194</v>
      </c>
      <c r="F423">
        <v>207</v>
      </c>
      <c r="G423">
        <v>0.9371980676328503</v>
      </c>
      <c r="H423">
        <v>85500</v>
      </c>
      <c r="I423">
        <v>137599</v>
      </c>
      <c r="J423">
        <v>85500</v>
      </c>
      <c r="K423">
        <v>0.92356197849576394</v>
      </c>
      <c r="L423">
        <f ca="1">IFERROR(__xludf.DUMMYFUNCTION("""COMPUTED_VALUE"""),194)</f>
        <v>194</v>
      </c>
      <c r="M423">
        <v>207</v>
      </c>
      <c r="N423">
        <v>85500</v>
      </c>
      <c r="O423">
        <f t="shared" ca="1" si="47"/>
        <v>0.9371980676328503</v>
      </c>
    </row>
    <row r="424" spans="1:15" x14ac:dyDescent="0.2">
      <c r="A424" t="str">
        <f ca="1">IFERROR(__xludf.DUMMYFUNCTION("""COMPUTED_VALUE"""),"km")</f>
        <v>km</v>
      </c>
      <c r="B424" t="str">
        <f ca="1">IFERROR(__xludf.DUMMYFUNCTION("""COMPUTED_VALUE"""),"Model 3 SR+")</f>
        <v>Model 3 SR+</v>
      </c>
      <c r="C424">
        <f ca="1">IFERROR(__xludf.DUMMYFUNCTION("""COMPUTED_VALUE"""),380)</f>
        <v>380</v>
      </c>
      <c r="D424">
        <f ca="1">IFERROR(__xludf.DUMMYFUNCTION("""COMPUTED_VALUE"""),15500)</f>
        <v>15500</v>
      </c>
      <c r="E424">
        <f ca="1">IFERROR(__xludf.DUMMYFUNCTION("""COMPUTED_VALUE"""),362)</f>
        <v>362</v>
      </c>
      <c r="F424">
        <v>386</v>
      </c>
      <c r="G424">
        <v>0.93782383419689119</v>
      </c>
      <c r="H424">
        <v>9631</v>
      </c>
      <c r="I424">
        <v>15500</v>
      </c>
      <c r="J424">
        <v>9631</v>
      </c>
      <c r="K424">
        <v>0.98959406687981422</v>
      </c>
      <c r="L424">
        <f t="shared" ref="L424:M429" ca="1" si="51">E424*0.621371</f>
        <v>224.93630200000001</v>
      </c>
      <c r="M424">
        <f t="shared" si="51"/>
        <v>239.84920600000001</v>
      </c>
      <c r="N424">
        <v>9631</v>
      </c>
      <c r="O424">
        <f t="shared" ca="1" si="47"/>
        <v>0.93782383419689119</v>
      </c>
    </row>
    <row r="425" spans="1:15" x14ac:dyDescent="0.2">
      <c r="A425" t="str">
        <f ca="1">IFERROR(__xludf.DUMMYFUNCTION("""COMPUTED_VALUE"""),"km")</f>
        <v>km</v>
      </c>
      <c r="B425" t="str">
        <f ca="1">IFERROR(__xludf.DUMMYFUNCTION("""COMPUTED_VALUE"""),"Model 3 P")</f>
        <v>Model 3 P</v>
      </c>
      <c r="C425">
        <f ca="1">IFERROR(__xludf.DUMMYFUNCTION("""COMPUTED_VALUE"""),502)</f>
        <v>502</v>
      </c>
      <c r="D425">
        <f ca="1">IFERROR(__xludf.DUMMYFUNCTION("""COMPUTED_VALUE"""),27780)</f>
        <v>27780</v>
      </c>
      <c r="E425">
        <f ca="1">IFERROR(__xludf.DUMMYFUNCTION("""COMPUTED_VALUE"""),468)</f>
        <v>468</v>
      </c>
      <c r="F425">
        <v>499</v>
      </c>
      <c r="G425">
        <v>0.93787575150300606</v>
      </c>
      <c r="H425">
        <v>17262</v>
      </c>
      <c r="I425">
        <v>27780</v>
      </c>
      <c r="J425">
        <v>17262</v>
      </c>
      <c r="K425">
        <v>0.9816601676570027</v>
      </c>
      <c r="L425">
        <f t="shared" ca="1" si="51"/>
        <v>290.80162799999999</v>
      </c>
      <c r="M425">
        <f t="shared" si="51"/>
        <v>310.06412899999998</v>
      </c>
      <c r="N425">
        <v>17262</v>
      </c>
      <c r="O425">
        <f t="shared" ca="1" si="47"/>
        <v>0.93787575150300606</v>
      </c>
    </row>
    <row r="426" spans="1:15" x14ac:dyDescent="0.2">
      <c r="A426" t="str">
        <f ca="1">IFERROR(__xludf.DUMMYFUNCTION("""COMPUTED_VALUE"""),"km")</f>
        <v>km</v>
      </c>
      <c r="B426" t="str">
        <f ca="1">IFERROR(__xludf.DUMMYFUNCTION("""COMPUTED_VALUE"""),"Model 3 P")</f>
        <v>Model 3 P</v>
      </c>
      <c r="D426">
        <f ca="1">IFERROR(__xludf.DUMMYFUNCTION("""COMPUTED_VALUE"""),27436)</f>
        <v>27436</v>
      </c>
      <c r="E426">
        <f ca="1">IFERROR(__xludf.DUMMYFUNCTION("""COMPUTED_VALUE"""),468)</f>
        <v>468</v>
      </c>
      <c r="F426">
        <v>499</v>
      </c>
      <c r="G426">
        <v>0.93787575150300606</v>
      </c>
      <c r="H426">
        <v>17048</v>
      </c>
      <c r="I426">
        <v>27436</v>
      </c>
      <c r="J426">
        <v>17048</v>
      </c>
      <c r="K426">
        <v>0.98187864665742741</v>
      </c>
      <c r="L426">
        <f t="shared" ca="1" si="51"/>
        <v>290.80162799999999</v>
      </c>
      <c r="M426">
        <f t="shared" si="51"/>
        <v>310.06412899999998</v>
      </c>
      <c r="N426">
        <v>17048</v>
      </c>
      <c r="O426">
        <f t="shared" ca="1" si="47"/>
        <v>0.93787575150300606</v>
      </c>
    </row>
    <row r="427" spans="1:15" x14ac:dyDescent="0.2">
      <c r="A427" t="str">
        <f ca="1">IFERROR(__xludf.DUMMYFUNCTION("""COMPUTED_VALUE"""),"km")</f>
        <v>km</v>
      </c>
      <c r="B427" t="str">
        <f ca="1">IFERROR(__xludf.DUMMYFUNCTION("""COMPUTED_VALUE"""),"Model S P100D")</f>
        <v>Model S P100D</v>
      </c>
      <c r="C427">
        <f ca="1">IFERROR(__xludf.DUMMYFUNCTION("""COMPUTED_VALUE"""),490)</f>
        <v>490</v>
      </c>
      <c r="D427">
        <f ca="1">IFERROR(__xludf.DUMMYFUNCTION("""COMPUTED_VALUE"""),48560)</f>
        <v>48560</v>
      </c>
      <c r="E427">
        <f ca="1">IFERROR(__xludf.DUMMYFUNCTION("""COMPUTED_VALUE"""),453)</f>
        <v>453</v>
      </c>
      <c r="F427">
        <v>483</v>
      </c>
      <c r="G427">
        <v>0.93788819875776397</v>
      </c>
      <c r="H427">
        <v>30174</v>
      </c>
      <c r="I427">
        <v>48560</v>
      </c>
      <c r="J427">
        <v>30174</v>
      </c>
      <c r="K427">
        <v>0.96887101250236696</v>
      </c>
      <c r="L427">
        <f t="shared" ca="1" si="51"/>
        <v>281.48106300000001</v>
      </c>
      <c r="M427">
        <f t="shared" si="51"/>
        <v>300.12219299999998</v>
      </c>
      <c r="N427">
        <v>30174</v>
      </c>
      <c r="O427">
        <f t="shared" ca="1" si="47"/>
        <v>0.93788819875776408</v>
      </c>
    </row>
    <row r="428" spans="1:15" x14ac:dyDescent="0.2">
      <c r="A428" t="str">
        <f ca="1">IFERROR(__xludf.DUMMYFUNCTION("""COMPUTED_VALUE"""),"km")</f>
        <v>km</v>
      </c>
      <c r="B428" t="str">
        <f ca="1">IFERROR(__xludf.DUMMYFUNCTION("""COMPUTED_VALUE"""),"Model S P85D")</f>
        <v>Model S P85D</v>
      </c>
      <c r="D428">
        <f ca="1">IFERROR(__xludf.DUMMYFUNCTION("""COMPUTED_VALUE"""),97594)</f>
        <v>97594</v>
      </c>
      <c r="E428">
        <f ca="1">IFERROR(__xludf.DUMMYFUNCTION("""COMPUTED_VALUE"""),378)</f>
        <v>378</v>
      </c>
      <c r="F428">
        <v>403</v>
      </c>
      <c r="G428">
        <v>0.93796526054590568</v>
      </c>
      <c r="H428">
        <v>60642</v>
      </c>
      <c r="I428">
        <v>97594</v>
      </c>
      <c r="J428">
        <v>60642</v>
      </c>
      <c r="K428">
        <v>0.94196465447326372</v>
      </c>
      <c r="L428">
        <f t="shared" ca="1" si="51"/>
        <v>234.87823800000001</v>
      </c>
      <c r="M428">
        <f t="shared" si="51"/>
        <v>250.41251299999999</v>
      </c>
      <c r="N428">
        <v>60642</v>
      </c>
      <c r="O428">
        <f t="shared" ca="1" si="47"/>
        <v>0.93796526054590579</v>
      </c>
    </row>
    <row r="429" spans="1:15" x14ac:dyDescent="0.2">
      <c r="A429" t="str">
        <f ca="1">IFERROR(__xludf.DUMMYFUNCTION("""COMPUTED_VALUE"""),"km")</f>
        <v>km</v>
      </c>
      <c r="B429" t="str">
        <f ca="1">IFERROR(__xludf.DUMMYFUNCTION("""COMPUTED_VALUE"""),"Model S P85D")</f>
        <v>Model S P85D</v>
      </c>
      <c r="C429">
        <f ca="1">IFERROR(__xludf.DUMMYFUNCTION("""COMPUTED_VALUE"""),406)</f>
        <v>406</v>
      </c>
      <c r="D429">
        <f ca="1">IFERROR(__xludf.DUMMYFUNCTION("""COMPUTED_VALUE"""),30094)</f>
        <v>30094</v>
      </c>
      <c r="E429">
        <f ca="1">IFERROR(__xludf.DUMMYFUNCTION("""COMPUTED_VALUE"""),378)</f>
        <v>378</v>
      </c>
      <c r="F429">
        <v>403</v>
      </c>
      <c r="G429">
        <v>0.93796526054590568</v>
      </c>
      <c r="H429">
        <v>18700</v>
      </c>
      <c r="I429">
        <v>30094</v>
      </c>
      <c r="J429">
        <v>18700</v>
      </c>
      <c r="K429">
        <v>0.98019619922833523</v>
      </c>
      <c r="L429">
        <f t="shared" ca="1" si="51"/>
        <v>234.87823800000001</v>
      </c>
      <c r="M429">
        <f t="shared" si="51"/>
        <v>250.41251299999999</v>
      </c>
      <c r="N429">
        <v>18700</v>
      </c>
      <c r="O429">
        <f t="shared" ca="1" si="47"/>
        <v>0.93796526054590579</v>
      </c>
    </row>
    <row r="430" spans="1:15" x14ac:dyDescent="0.2">
      <c r="A430" t="str">
        <f ca="1">IFERROR(__xludf.DUMMYFUNCTION("""COMPUTED_VALUE"""),"mi")</f>
        <v>mi</v>
      </c>
      <c r="B430" t="str">
        <f ca="1">IFERROR(__xludf.DUMMYFUNCTION("""COMPUTED_VALUE"""),"Model 3 LR")</f>
        <v>Model 3 LR</v>
      </c>
      <c r="C430">
        <f ca="1">IFERROR(__xludf.DUMMYFUNCTION("""COMPUTED_VALUE"""),310)</f>
        <v>310</v>
      </c>
      <c r="D430">
        <f ca="1">IFERROR(__xludf.DUMMYFUNCTION("""COMPUTED_VALUE"""),27500)</f>
        <v>27500</v>
      </c>
      <c r="E430">
        <f ca="1">IFERROR(__xludf.DUMMYFUNCTION("""COMPUTED_VALUE"""),305)</f>
        <v>305</v>
      </c>
      <c r="F430">
        <v>325</v>
      </c>
      <c r="G430">
        <v>0.93846153846153846</v>
      </c>
      <c r="H430">
        <v>27500</v>
      </c>
      <c r="I430">
        <v>44257</v>
      </c>
      <c r="J430">
        <v>27500</v>
      </c>
      <c r="K430">
        <v>0.97145291297935343</v>
      </c>
      <c r="L430">
        <f ca="1">IFERROR(__xludf.DUMMYFUNCTION("""COMPUTED_VALUE"""),305)</f>
        <v>305</v>
      </c>
      <c r="M430">
        <v>325</v>
      </c>
      <c r="N430">
        <v>27500</v>
      </c>
      <c r="O430">
        <f t="shared" ca="1" si="47"/>
        <v>0.93846153846153846</v>
      </c>
    </row>
    <row r="431" spans="1:15" x14ac:dyDescent="0.2">
      <c r="A431" t="str">
        <f ca="1">IFERROR(__xludf.DUMMYFUNCTION("""COMPUTED_VALUE"""),"mi")</f>
        <v>mi</v>
      </c>
      <c r="B431" t="str">
        <f ca="1">IFERROR(__xludf.DUMMYFUNCTION("""COMPUTED_VALUE"""),"Model S 90D 2015")</f>
        <v>Model S 90D 2015</v>
      </c>
      <c r="D431">
        <f ca="1">IFERROR(__xludf.DUMMYFUNCTION("""COMPUTED_VALUE"""),17560)</f>
        <v>17560</v>
      </c>
      <c r="E431">
        <f ca="1">IFERROR(__xludf.DUMMYFUNCTION("""COMPUTED_VALUE"""),260)</f>
        <v>260</v>
      </c>
      <c r="F431">
        <v>277</v>
      </c>
      <c r="G431">
        <v>0.93862815884476536</v>
      </c>
      <c r="H431">
        <v>17560</v>
      </c>
      <c r="I431">
        <v>28260</v>
      </c>
      <c r="J431">
        <v>17560</v>
      </c>
      <c r="K431">
        <v>0.98135567849295158</v>
      </c>
      <c r="L431">
        <f ca="1">IFERROR(__xludf.DUMMYFUNCTION("""COMPUTED_VALUE"""),260)</f>
        <v>260</v>
      </c>
      <c r="M431">
        <v>277</v>
      </c>
      <c r="N431">
        <v>17560</v>
      </c>
      <c r="O431">
        <f t="shared" ca="1" si="47"/>
        <v>0.93862815884476536</v>
      </c>
    </row>
    <row r="432" spans="1:15" x14ac:dyDescent="0.2">
      <c r="A432" t="str">
        <f ca="1">IFERROR(__xludf.DUMMYFUNCTION("""COMPUTED_VALUE"""),"mi")</f>
        <v>mi</v>
      </c>
      <c r="B432" t="str">
        <f ca="1">IFERROR(__xludf.DUMMYFUNCTION("""COMPUTED_VALUE"""),"Model S 90D 2015")</f>
        <v>Model S 90D 2015</v>
      </c>
      <c r="D432">
        <f ca="1">IFERROR(__xludf.DUMMYFUNCTION("""COMPUTED_VALUE"""),5790)</f>
        <v>5790</v>
      </c>
      <c r="E432">
        <f ca="1">IFERROR(__xludf.DUMMYFUNCTION("""COMPUTED_VALUE"""),260)</f>
        <v>260</v>
      </c>
      <c r="F432">
        <v>277</v>
      </c>
      <c r="G432">
        <v>0.93862815884476536</v>
      </c>
      <c r="H432">
        <v>5790</v>
      </c>
      <c r="I432">
        <v>9318</v>
      </c>
      <c r="J432">
        <v>5790</v>
      </c>
      <c r="K432">
        <v>0.99369232727910217</v>
      </c>
      <c r="L432">
        <f ca="1">IFERROR(__xludf.DUMMYFUNCTION("""COMPUTED_VALUE"""),260)</f>
        <v>260</v>
      </c>
      <c r="M432">
        <v>277</v>
      </c>
      <c r="N432">
        <v>5790</v>
      </c>
      <c r="O432">
        <f t="shared" ca="1" si="47"/>
        <v>0.93862815884476536</v>
      </c>
    </row>
    <row r="433" spans="1:15" x14ac:dyDescent="0.2">
      <c r="A433" t="str">
        <f ca="1">IFERROR(__xludf.DUMMYFUNCTION("""COMPUTED_VALUE"""),"mi")</f>
        <v>mi</v>
      </c>
      <c r="B433" t="str">
        <f ca="1">IFERROR(__xludf.DUMMYFUNCTION("""COMPUTED_VALUE"""),"Model S 85")</f>
        <v>Model S 85</v>
      </c>
      <c r="D433">
        <f ca="1">IFERROR(__xludf.DUMMYFUNCTION("""COMPUTED_VALUE"""),62095)</f>
        <v>62095</v>
      </c>
      <c r="E433">
        <f ca="1">IFERROR(__xludf.DUMMYFUNCTION("""COMPUTED_VALUE"""),230)</f>
        <v>230</v>
      </c>
      <c r="F433">
        <v>245</v>
      </c>
      <c r="G433">
        <v>0.93877551020408168</v>
      </c>
      <c r="H433">
        <v>62095</v>
      </c>
      <c r="I433">
        <v>99932</v>
      </c>
      <c r="J433">
        <v>62095</v>
      </c>
      <c r="K433">
        <v>0.94079969494438598</v>
      </c>
      <c r="L433">
        <f ca="1">IFERROR(__xludf.DUMMYFUNCTION("""COMPUTED_VALUE"""),230)</f>
        <v>230</v>
      </c>
      <c r="M433">
        <v>245</v>
      </c>
      <c r="N433">
        <v>62095</v>
      </c>
      <c r="O433">
        <f t="shared" ca="1" si="47"/>
        <v>0.93877551020408168</v>
      </c>
    </row>
    <row r="434" spans="1:15" x14ac:dyDescent="0.2">
      <c r="A434" t="str">
        <f ca="1">IFERROR(__xludf.DUMMYFUNCTION("""COMPUTED_VALUE"""),"km")</f>
        <v>km</v>
      </c>
      <c r="B434" t="str">
        <f ca="1">IFERROR(__xludf.DUMMYFUNCTION("""COMPUTED_VALUE"""),"Model S 85D")</f>
        <v>Model S 85D</v>
      </c>
      <c r="C434">
        <f ca="1">IFERROR(__xludf.DUMMYFUNCTION("""COMPUTED_VALUE"""),405)</f>
        <v>405</v>
      </c>
      <c r="D434">
        <f ca="1">IFERROR(__xludf.DUMMYFUNCTION("""COMPUTED_VALUE"""),24300)</f>
        <v>24300</v>
      </c>
      <c r="E434">
        <f ca="1">IFERROR(__xludf.DUMMYFUNCTION("""COMPUTED_VALUE"""),399)</f>
        <v>399</v>
      </c>
      <c r="F434">
        <v>425</v>
      </c>
      <c r="G434">
        <v>0.93882352941176472</v>
      </c>
      <c r="H434">
        <v>15099</v>
      </c>
      <c r="I434">
        <v>24300</v>
      </c>
      <c r="J434">
        <v>15099</v>
      </c>
      <c r="K434">
        <v>0.98388042531279052</v>
      </c>
      <c r="L434">
        <f t="shared" ref="L434:L453" ca="1" si="52">E434*0.621371</f>
        <v>247.927029</v>
      </c>
      <c r="M434">
        <f t="shared" ref="M434:M453" si="53">F434*0.621371</f>
        <v>264.08267499999999</v>
      </c>
      <c r="N434">
        <v>15099</v>
      </c>
      <c r="O434">
        <f t="shared" ca="1" si="47"/>
        <v>0.93882352941176472</v>
      </c>
    </row>
    <row r="435" spans="1:15" x14ac:dyDescent="0.2">
      <c r="A435" t="str">
        <f ca="1">IFERROR(__xludf.DUMMYFUNCTION("""COMPUTED_VALUE"""),"km")</f>
        <v>km</v>
      </c>
      <c r="B435" t="str">
        <f ca="1">IFERROR(__xludf.DUMMYFUNCTION("""COMPUTED_VALUE"""),"Model S 70D")</f>
        <v>Model S 70D</v>
      </c>
      <c r="C435">
        <f ca="1">IFERROR(__xludf.DUMMYFUNCTION("""COMPUTED_VALUE"""),365)</f>
        <v>365</v>
      </c>
      <c r="D435">
        <f ca="1">IFERROR(__xludf.DUMMYFUNCTION("""COMPUTED_VALUE"""),124898)</f>
        <v>124898</v>
      </c>
      <c r="E435">
        <f ca="1">IFERROR(__xludf.DUMMYFUNCTION("""COMPUTED_VALUE"""),338)</f>
        <v>338</v>
      </c>
      <c r="F435">
        <v>360</v>
      </c>
      <c r="G435">
        <v>0.93888888888888888</v>
      </c>
      <c r="H435">
        <v>77608</v>
      </c>
      <c r="I435">
        <v>124898</v>
      </c>
      <c r="J435">
        <v>77608</v>
      </c>
      <c r="K435">
        <v>0.92904894709366381</v>
      </c>
      <c r="L435">
        <f t="shared" ca="1" si="52"/>
        <v>210.02339800000001</v>
      </c>
      <c r="M435">
        <f t="shared" si="53"/>
        <v>223.69355999999999</v>
      </c>
      <c r="N435">
        <v>77608</v>
      </c>
      <c r="O435">
        <f t="shared" ca="1" si="47"/>
        <v>0.93888888888888899</v>
      </c>
    </row>
    <row r="436" spans="1:15" x14ac:dyDescent="0.2">
      <c r="A436" t="str">
        <f ca="1">IFERROR(__xludf.DUMMYFUNCTION("""COMPUTED_VALUE"""),"km")</f>
        <v>km</v>
      </c>
      <c r="B436" t="str">
        <f ca="1">IFERROR(__xludf.DUMMYFUNCTION("""COMPUTED_VALUE"""),"Model S 85")</f>
        <v>Model S 85</v>
      </c>
      <c r="D436">
        <f ca="1">IFERROR(__xludf.DUMMYFUNCTION("""COMPUTED_VALUE"""),140504)</f>
        <v>140504</v>
      </c>
      <c r="E436">
        <f ca="1">IFERROR(__xludf.DUMMYFUNCTION("""COMPUTED_VALUE"""),371)</f>
        <v>371</v>
      </c>
      <c r="F436">
        <v>395</v>
      </c>
      <c r="G436">
        <v>0.93924050632911393</v>
      </c>
      <c r="H436">
        <v>87305</v>
      </c>
      <c r="I436">
        <v>140504</v>
      </c>
      <c r="J436">
        <v>87305</v>
      </c>
      <c r="K436">
        <v>0.9223542353921057</v>
      </c>
      <c r="L436">
        <f t="shared" ca="1" si="52"/>
        <v>230.52864099999999</v>
      </c>
      <c r="M436">
        <f t="shared" si="53"/>
        <v>245.44154499999999</v>
      </c>
      <c r="N436">
        <v>87305</v>
      </c>
      <c r="O436">
        <f t="shared" ca="1" si="47"/>
        <v>0.93924050632911393</v>
      </c>
    </row>
    <row r="437" spans="1:15" x14ac:dyDescent="0.2">
      <c r="A437" t="str">
        <f ca="1">IFERROR(__xludf.DUMMYFUNCTION("""COMPUTED_VALUE"""),"km")</f>
        <v>km</v>
      </c>
      <c r="B437" t="str">
        <f ca="1">IFERROR(__xludf.DUMMYFUNCTION("""COMPUTED_VALUE"""),"Model S 85")</f>
        <v>Model S 85</v>
      </c>
      <c r="C437">
        <f ca="1">IFERROR(__xludf.DUMMYFUNCTION("""COMPUTED_VALUE"""),391)</f>
        <v>391</v>
      </c>
      <c r="D437">
        <f ca="1">IFERROR(__xludf.DUMMYFUNCTION("""COMPUTED_VALUE"""),98400)</f>
        <v>98400</v>
      </c>
      <c r="E437">
        <f ca="1">IFERROR(__xludf.DUMMYFUNCTION("""COMPUTED_VALUE"""),371)</f>
        <v>371</v>
      </c>
      <c r="F437">
        <v>395</v>
      </c>
      <c r="G437">
        <v>0.93924050632911393</v>
      </c>
      <c r="H437">
        <v>61143</v>
      </c>
      <c r="I437">
        <v>98400</v>
      </c>
      <c r="J437">
        <v>61143</v>
      </c>
      <c r="K437">
        <v>0.94156181160718133</v>
      </c>
      <c r="L437">
        <f t="shared" ca="1" si="52"/>
        <v>230.52864099999999</v>
      </c>
      <c r="M437">
        <f t="shared" si="53"/>
        <v>245.44154499999999</v>
      </c>
      <c r="N437">
        <v>61143</v>
      </c>
      <c r="O437">
        <f t="shared" ca="1" si="47"/>
        <v>0.93924050632911393</v>
      </c>
    </row>
    <row r="438" spans="1:15" x14ac:dyDescent="0.2">
      <c r="A438" t="str">
        <f ca="1">IFERROR(__xludf.DUMMYFUNCTION("""COMPUTED_VALUE"""),"km")</f>
        <v>km</v>
      </c>
      <c r="B438" t="str">
        <f ca="1">IFERROR(__xludf.DUMMYFUNCTION("""COMPUTED_VALUE"""),"Model S 85")</f>
        <v>Model S 85</v>
      </c>
      <c r="C438">
        <f ca="1">IFERROR(__xludf.DUMMYFUNCTION("""COMPUTED_VALUE"""),398)</f>
        <v>398</v>
      </c>
      <c r="D438">
        <f ca="1">IFERROR(__xludf.DUMMYFUNCTION("""COMPUTED_VALUE"""),143425)</f>
        <v>143425</v>
      </c>
      <c r="E438">
        <f ca="1">IFERROR(__xludf.DUMMYFUNCTION("""COMPUTED_VALUE"""),371)</f>
        <v>371</v>
      </c>
      <c r="F438">
        <v>395</v>
      </c>
      <c r="G438">
        <v>0.93924050632911393</v>
      </c>
      <c r="H438">
        <v>89120</v>
      </c>
      <c r="I438">
        <v>143425</v>
      </c>
      <c r="J438">
        <v>89120</v>
      </c>
      <c r="K438">
        <v>0.9211577007485805</v>
      </c>
      <c r="L438">
        <f t="shared" ca="1" si="52"/>
        <v>230.52864099999999</v>
      </c>
      <c r="M438">
        <f t="shared" si="53"/>
        <v>245.44154499999999</v>
      </c>
      <c r="N438">
        <v>89120</v>
      </c>
      <c r="O438">
        <f t="shared" ca="1" si="47"/>
        <v>0.93924050632911393</v>
      </c>
    </row>
    <row r="439" spans="1:15" x14ac:dyDescent="0.2">
      <c r="A439" t="str">
        <f ca="1">IFERROR(__xludf.DUMMYFUNCTION("""COMPUTED_VALUE"""),"km")</f>
        <v>km</v>
      </c>
      <c r="B439" t="str">
        <f ca="1">IFERROR(__xludf.DUMMYFUNCTION("""COMPUTED_VALUE"""),"Model S P85")</f>
        <v>Model S P85</v>
      </c>
      <c r="C439">
        <f ca="1">IFERROR(__xludf.DUMMYFUNCTION("""COMPUTED_VALUE"""),402)</f>
        <v>402</v>
      </c>
      <c r="D439">
        <f ca="1">IFERROR(__xludf.DUMMYFUNCTION("""COMPUTED_VALUE"""),140000)</f>
        <v>140000</v>
      </c>
      <c r="E439">
        <f ca="1">IFERROR(__xludf.DUMMYFUNCTION("""COMPUTED_VALUE"""),371)</f>
        <v>371</v>
      </c>
      <c r="F439">
        <v>395</v>
      </c>
      <c r="G439">
        <v>0.93924050632911393</v>
      </c>
      <c r="H439">
        <v>86992</v>
      </c>
      <c r="I439">
        <v>140000</v>
      </c>
      <c r="J439">
        <v>86992</v>
      </c>
      <c r="K439">
        <v>0.92256250316710808</v>
      </c>
      <c r="L439">
        <f t="shared" ca="1" si="52"/>
        <v>230.52864099999999</v>
      </c>
      <c r="M439">
        <f t="shared" si="53"/>
        <v>245.44154499999999</v>
      </c>
      <c r="N439">
        <v>86992</v>
      </c>
      <c r="O439">
        <f t="shared" ca="1" si="47"/>
        <v>0.93924050632911393</v>
      </c>
    </row>
    <row r="440" spans="1:15" x14ac:dyDescent="0.2">
      <c r="A440" t="str">
        <f ca="1">IFERROR(__xludf.DUMMYFUNCTION("""COMPUTED_VALUE"""),"km")</f>
        <v>km</v>
      </c>
      <c r="B440" t="str">
        <f ca="1">IFERROR(__xludf.DUMMYFUNCTION("""COMPUTED_VALUE"""),"Model S 85")</f>
        <v>Model S 85</v>
      </c>
      <c r="C440">
        <f ca="1">IFERROR(__xludf.DUMMYFUNCTION("""COMPUTED_VALUE"""),400)</f>
        <v>400</v>
      </c>
      <c r="D440">
        <f ca="1">IFERROR(__xludf.DUMMYFUNCTION("""COMPUTED_VALUE"""),106530)</f>
        <v>106530</v>
      </c>
      <c r="E440">
        <f ca="1">IFERROR(__xludf.DUMMYFUNCTION("""COMPUTED_VALUE"""),371)</f>
        <v>371</v>
      </c>
      <c r="F440">
        <v>395</v>
      </c>
      <c r="G440">
        <v>0.93924050632911393</v>
      </c>
      <c r="H440">
        <v>66195</v>
      </c>
      <c r="I440">
        <v>106530</v>
      </c>
      <c r="J440">
        <v>66195</v>
      </c>
      <c r="K440">
        <v>0.93757128603101225</v>
      </c>
      <c r="L440">
        <f t="shared" ca="1" si="52"/>
        <v>230.52864099999999</v>
      </c>
      <c r="M440">
        <f t="shared" si="53"/>
        <v>245.44154499999999</v>
      </c>
      <c r="N440">
        <v>66195</v>
      </c>
      <c r="O440">
        <f t="shared" ca="1" si="47"/>
        <v>0.93924050632911393</v>
      </c>
    </row>
    <row r="441" spans="1:15" x14ac:dyDescent="0.2">
      <c r="A441" t="str">
        <f ca="1">IFERROR(__xludf.DUMMYFUNCTION("""COMPUTED_VALUE"""),"km")</f>
        <v>km</v>
      </c>
      <c r="B441" t="str">
        <f ca="1">IFERROR(__xludf.DUMMYFUNCTION("""COMPUTED_VALUE"""),"Model S 85")</f>
        <v>Model S 85</v>
      </c>
      <c r="C441">
        <f ca="1">IFERROR(__xludf.DUMMYFUNCTION("""COMPUTED_VALUE"""),400)</f>
        <v>400</v>
      </c>
      <c r="D441">
        <f ca="1">IFERROR(__xludf.DUMMYFUNCTION("""COMPUTED_VALUE"""),144744)</f>
        <v>144744</v>
      </c>
      <c r="E441">
        <f ca="1">IFERROR(__xludf.DUMMYFUNCTION("""COMPUTED_VALUE"""),371)</f>
        <v>371</v>
      </c>
      <c r="F441">
        <v>395</v>
      </c>
      <c r="G441">
        <v>0.93924050632911393</v>
      </c>
      <c r="H441">
        <v>89940</v>
      </c>
      <c r="I441">
        <v>144744</v>
      </c>
      <c r="J441">
        <v>89940</v>
      </c>
      <c r="K441">
        <v>0.92062328170689489</v>
      </c>
      <c r="L441">
        <f t="shared" ca="1" si="52"/>
        <v>230.52864099999999</v>
      </c>
      <c r="M441">
        <f t="shared" si="53"/>
        <v>245.44154499999999</v>
      </c>
      <c r="N441">
        <v>89940</v>
      </c>
      <c r="O441">
        <f t="shared" ca="1" si="47"/>
        <v>0.93924050632911393</v>
      </c>
    </row>
    <row r="442" spans="1:15" x14ac:dyDescent="0.2">
      <c r="A442" t="str">
        <f ca="1">IFERROR(__xludf.DUMMYFUNCTION("""COMPUTED_VALUE"""),"km")</f>
        <v>km</v>
      </c>
      <c r="B442" t="str">
        <f ca="1">IFERROR(__xludf.DUMMYFUNCTION("""COMPUTED_VALUE"""),"Model S 85")</f>
        <v>Model S 85</v>
      </c>
      <c r="D442">
        <f ca="1">IFERROR(__xludf.DUMMYFUNCTION("""COMPUTED_VALUE"""),128000)</f>
        <v>128000</v>
      </c>
      <c r="E442">
        <f ca="1">IFERROR(__xludf.DUMMYFUNCTION("""COMPUTED_VALUE"""),371)</f>
        <v>371</v>
      </c>
      <c r="F442">
        <v>395</v>
      </c>
      <c r="G442">
        <v>0.93924050632911393</v>
      </c>
      <c r="H442">
        <v>79536</v>
      </c>
      <c r="I442">
        <v>128000</v>
      </c>
      <c r="J442">
        <v>79536</v>
      </c>
      <c r="K442">
        <v>0.92767796395846069</v>
      </c>
      <c r="L442">
        <f t="shared" ca="1" si="52"/>
        <v>230.52864099999999</v>
      </c>
      <c r="M442">
        <f t="shared" si="53"/>
        <v>245.44154499999999</v>
      </c>
      <c r="N442">
        <v>79536</v>
      </c>
      <c r="O442">
        <f t="shared" ca="1" si="47"/>
        <v>0.93924050632911393</v>
      </c>
    </row>
    <row r="443" spans="1:15" x14ac:dyDescent="0.2">
      <c r="A443" t="str">
        <f ca="1">IFERROR(__xludf.DUMMYFUNCTION("""COMPUTED_VALUE"""),"km")</f>
        <v>km</v>
      </c>
      <c r="B443" t="str">
        <f ca="1">IFERROR(__xludf.DUMMYFUNCTION("""COMPUTED_VALUE"""),"Model S 85")</f>
        <v>Model S 85</v>
      </c>
      <c r="D443">
        <f ca="1">IFERROR(__xludf.DUMMYFUNCTION("""COMPUTED_VALUE"""),126077)</f>
        <v>126077</v>
      </c>
      <c r="E443">
        <f ca="1">IFERROR(__xludf.DUMMYFUNCTION("""COMPUTED_VALUE"""),371)</f>
        <v>371</v>
      </c>
      <c r="F443">
        <v>395</v>
      </c>
      <c r="G443">
        <v>0.93924050632911393</v>
      </c>
      <c r="H443">
        <v>78341</v>
      </c>
      <c r="I443">
        <v>126077</v>
      </c>
      <c r="J443">
        <v>78341</v>
      </c>
      <c r="K443">
        <v>0.92852552596253624</v>
      </c>
      <c r="L443">
        <f t="shared" ca="1" si="52"/>
        <v>230.52864099999999</v>
      </c>
      <c r="M443">
        <f t="shared" si="53"/>
        <v>245.44154499999999</v>
      </c>
      <c r="N443">
        <v>78341</v>
      </c>
      <c r="O443">
        <f t="shared" ca="1" si="47"/>
        <v>0.93924050632911393</v>
      </c>
    </row>
    <row r="444" spans="1:15" x14ac:dyDescent="0.2">
      <c r="A444" t="str">
        <f ca="1">IFERROR(__xludf.DUMMYFUNCTION("""COMPUTED_VALUE"""),"km")</f>
        <v>km</v>
      </c>
      <c r="B444" t="str">
        <f ca="1">IFERROR(__xludf.DUMMYFUNCTION("""COMPUTED_VALUE"""),"Model S 85")</f>
        <v>Model S 85</v>
      </c>
      <c r="D444">
        <f ca="1">IFERROR(__xludf.DUMMYFUNCTION("""COMPUTED_VALUE"""),80500)</f>
        <v>80500</v>
      </c>
      <c r="E444">
        <f ca="1">IFERROR(__xludf.DUMMYFUNCTION("""COMPUTED_VALUE"""),371)</f>
        <v>371</v>
      </c>
      <c r="F444">
        <v>395</v>
      </c>
      <c r="G444">
        <v>0.93924050632911393</v>
      </c>
      <c r="H444">
        <v>50020</v>
      </c>
      <c r="I444">
        <v>80500</v>
      </c>
      <c r="J444">
        <v>50020</v>
      </c>
      <c r="K444">
        <v>0.9508123075429411</v>
      </c>
      <c r="L444">
        <f t="shared" ca="1" si="52"/>
        <v>230.52864099999999</v>
      </c>
      <c r="M444">
        <f t="shared" si="53"/>
        <v>245.44154499999999</v>
      </c>
      <c r="N444">
        <v>50020</v>
      </c>
      <c r="O444">
        <f t="shared" ca="1" si="47"/>
        <v>0.93924050632911393</v>
      </c>
    </row>
    <row r="445" spans="1:15" x14ac:dyDescent="0.2">
      <c r="A445" t="str">
        <f ca="1">IFERROR(__xludf.DUMMYFUNCTION("""COMPUTED_VALUE"""),"km")</f>
        <v>km</v>
      </c>
      <c r="B445" t="str">
        <f ca="1">IFERROR(__xludf.DUMMYFUNCTION("""COMPUTED_VALUE"""),"Model S 85")</f>
        <v>Model S 85</v>
      </c>
      <c r="D445">
        <f ca="1">IFERROR(__xludf.DUMMYFUNCTION("""COMPUTED_VALUE"""),58000)</f>
        <v>58000</v>
      </c>
      <c r="E445">
        <f ca="1">IFERROR(__xludf.DUMMYFUNCTION("""COMPUTED_VALUE"""),371)</f>
        <v>371</v>
      </c>
      <c r="F445">
        <v>395</v>
      </c>
      <c r="G445">
        <v>0.93924050632911393</v>
      </c>
      <c r="H445">
        <v>36040</v>
      </c>
      <c r="I445">
        <v>58000</v>
      </c>
      <c r="J445">
        <v>36040</v>
      </c>
      <c r="K445">
        <v>0.96332969200394658</v>
      </c>
      <c r="L445">
        <f t="shared" ca="1" si="52"/>
        <v>230.52864099999999</v>
      </c>
      <c r="M445">
        <f t="shared" si="53"/>
        <v>245.44154499999999</v>
      </c>
      <c r="N445">
        <v>36040</v>
      </c>
      <c r="O445">
        <f t="shared" ca="1" si="47"/>
        <v>0.93924050632911393</v>
      </c>
    </row>
    <row r="446" spans="1:15" x14ac:dyDescent="0.2">
      <c r="A446" t="str">
        <f ca="1">IFERROR(__xludf.DUMMYFUNCTION("""COMPUTED_VALUE"""),"km")</f>
        <v>km</v>
      </c>
      <c r="B446" t="str">
        <f ca="1">IFERROR(__xludf.DUMMYFUNCTION("""COMPUTED_VALUE"""),"Model S 85")</f>
        <v>Model S 85</v>
      </c>
      <c r="C446">
        <f ca="1">IFERROR(__xludf.DUMMYFUNCTION("""COMPUTED_VALUE"""),398)</f>
        <v>398</v>
      </c>
      <c r="D446">
        <f ca="1">IFERROR(__xludf.DUMMYFUNCTION("""COMPUTED_VALUE"""),93058)</f>
        <v>93058</v>
      </c>
      <c r="E446">
        <f ca="1">IFERROR(__xludf.DUMMYFUNCTION("""COMPUTED_VALUE"""),371)</f>
        <v>371</v>
      </c>
      <c r="F446">
        <v>395</v>
      </c>
      <c r="G446">
        <v>0.93924050632911393</v>
      </c>
      <c r="H446">
        <v>57824</v>
      </c>
      <c r="I446">
        <v>93058</v>
      </c>
      <c r="J446">
        <v>57824</v>
      </c>
      <c r="K446">
        <v>0.94425595776122839</v>
      </c>
      <c r="L446">
        <f t="shared" ca="1" si="52"/>
        <v>230.52864099999999</v>
      </c>
      <c r="M446">
        <f t="shared" si="53"/>
        <v>245.44154499999999</v>
      </c>
      <c r="N446">
        <v>57824</v>
      </c>
      <c r="O446">
        <f t="shared" ca="1" si="47"/>
        <v>0.93924050632911393</v>
      </c>
    </row>
    <row r="447" spans="1:15" x14ac:dyDescent="0.2">
      <c r="A447" t="str">
        <f ca="1">IFERROR(__xludf.DUMMYFUNCTION("""COMPUTED_VALUE"""),"km")</f>
        <v>km</v>
      </c>
      <c r="B447" t="str">
        <f ca="1">IFERROR(__xludf.DUMMYFUNCTION("""COMPUTED_VALUE"""),"Model S P85+")</f>
        <v>Model S P85+</v>
      </c>
      <c r="D447">
        <f ca="1">IFERROR(__xludf.DUMMYFUNCTION("""COMPUTED_VALUE"""),47000)</f>
        <v>47000</v>
      </c>
      <c r="E447">
        <f ca="1">IFERROR(__xludf.DUMMYFUNCTION("""COMPUTED_VALUE"""),371)</f>
        <v>371</v>
      </c>
      <c r="F447">
        <v>395</v>
      </c>
      <c r="G447">
        <v>0.93924050632911393</v>
      </c>
      <c r="H447">
        <v>29204</v>
      </c>
      <c r="I447">
        <v>47000</v>
      </c>
      <c r="J447">
        <v>29204</v>
      </c>
      <c r="K447">
        <v>0.96980301211730746</v>
      </c>
      <c r="L447">
        <f t="shared" ca="1" si="52"/>
        <v>230.52864099999999</v>
      </c>
      <c r="M447">
        <f t="shared" si="53"/>
        <v>245.44154499999999</v>
      </c>
      <c r="N447">
        <v>29204</v>
      </c>
      <c r="O447">
        <f t="shared" ca="1" si="47"/>
        <v>0.93924050632911393</v>
      </c>
    </row>
    <row r="448" spans="1:15" x14ac:dyDescent="0.2">
      <c r="A448" t="str">
        <f ca="1">IFERROR(__xludf.DUMMYFUNCTION("""COMPUTED_VALUE"""),"km")</f>
        <v>km</v>
      </c>
      <c r="B448" t="str">
        <f ca="1">IFERROR(__xludf.DUMMYFUNCTION("""COMPUTED_VALUE"""),"Model S P85")</f>
        <v>Model S P85</v>
      </c>
      <c r="C448">
        <f ca="1">IFERROR(__xludf.DUMMYFUNCTION("""COMPUTED_VALUE"""),399)</f>
        <v>399</v>
      </c>
      <c r="D448">
        <f ca="1">IFERROR(__xludf.DUMMYFUNCTION("""COMPUTED_VALUE"""),173200)</f>
        <v>173200</v>
      </c>
      <c r="E448">
        <f ca="1">IFERROR(__xludf.DUMMYFUNCTION("""COMPUTED_VALUE"""),371)</f>
        <v>371</v>
      </c>
      <c r="F448">
        <v>395</v>
      </c>
      <c r="G448">
        <v>0.93924050632911393</v>
      </c>
      <c r="H448">
        <v>107621</v>
      </c>
      <c r="I448">
        <v>173200</v>
      </c>
      <c r="J448">
        <v>107621</v>
      </c>
      <c r="K448">
        <v>0.90999653538027825</v>
      </c>
      <c r="L448">
        <f t="shared" ca="1" si="52"/>
        <v>230.52864099999999</v>
      </c>
      <c r="M448">
        <f t="shared" si="53"/>
        <v>245.44154499999999</v>
      </c>
      <c r="N448">
        <v>107621</v>
      </c>
      <c r="O448">
        <f t="shared" ca="1" si="47"/>
        <v>0.93924050632911393</v>
      </c>
    </row>
    <row r="449" spans="1:15" x14ac:dyDescent="0.2">
      <c r="A449" t="str">
        <f ca="1">IFERROR(__xludf.DUMMYFUNCTION("""COMPUTED_VALUE"""),"km")</f>
        <v>km</v>
      </c>
      <c r="B449" t="str">
        <f ca="1">IFERROR(__xludf.DUMMYFUNCTION("""COMPUTED_VALUE"""),"Model S P85")</f>
        <v>Model S P85</v>
      </c>
      <c r="C449">
        <f ca="1">IFERROR(__xludf.DUMMYFUNCTION("""COMPUTED_VALUE"""),402)</f>
        <v>402</v>
      </c>
      <c r="D449">
        <f ca="1">IFERROR(__xludf.DUMMYFUNCTION("""COMPUTED_VALUE"""),69300)</f>
        <v>69300</v>
      </c>
      <c r="E449">
        <f ca="1">IFERROR(__xludf.DUMMYFUNCTION("""COMPUTED_VALUE"""),371)</f>
        <v>371</v>
      </c>
      <c r="F449">
        <v>395</v>
      </c>
      <c r="G449">
        <v>0.93924050632911393</v>
      </c>
      <c r="H449">
        <v>43061</v>
      </c>
      <c r="I449">
        <v>69300</v>
      </c>
      <c r="J449">
        <v>43061</v>
      </c>
      <c r="K449">
        <v>0.95692067558627025</v>
      </c>
      <c r="L449">
        <f t="shared" ca="1" si="52"/>
        <v>230.52864099999999</v>
      </c>
      <c r="M449">
        <f t="shared" si="53"/>
        <v>245.44154499999999</v>
      </c>
      <c r="N449">
        <v>43061</v>
      </c>
      <c r="O449">
        <f t="shared" ca="1" si="47"/>
        <v>0.93924050632911393</v>
      </c>
    </row>
    <row r="450" spans="1:15" x14ac:dyDescent="0.2">
      <c r="A450" t="str">
        <f ca="1">IFERROR(__xludf.DUMMYFUNCTION("""COMPUTED_VALUE"""),"km")</f>
        <v>km</v>
      </c>
      <c r="B450" t="str">
        <f ca="1">IFERROR(__xludf.DUMMYFUNCTION("""COMPUTED_VALUE"""),"Model S 85")</f>
        <v>Model S 85</v>
      </c>
      <c r="C450">
        <f ca="1">IFERROR(__xludf.DUMMYFUNCTION("""COMPUTED_VALUE"""),399)</f>
        <v>399</v>
      </c>
      <c r="D450">
        <f ca="1">IFERROR(__xludf.DUMMYFUNCTION("""COMPUTED_VALUE"""),35580)</f>
        <v>35580</v>
      </c>
      <c r="E450">
        <f ca="1">IFERROR(__xludf.DUMMYFUNCTION("""COMPUTED_VALUE"""),371)</f>
        <v>371</v>
      </c>
      <c r="F450">
        <v>395</v>
      </c>
      <c r="G450">
        <v>0.93924050632911393</v>
      </c>
      <c r="H450">
        <v>22108</v>
      </c>
      <c r="I450">
        <v>35580</v>
      </c>
      <c r="J450">
        <v>22108</v>
      </c>
      <c r="K450">
        <v>0.97676510866933763</v>
      </c>
      <c r="L450">
        <f t="shared" ca="1" si="52"/>
        <v>230.52864099999999</v>
      </c>
      <c r="M450">
        <f t="shared" si="53"/>
        <v>245.44154499999999</v>
      </c>
      <c r="N450">
        <v>22108</v>
      </c>
      <c r="O450">
        <f t="shared" ref="O450:O513" ca="1" si="54">L450/M450</f>
        <v>0.93924050632911393</v>
      </c>
    </row>
    <row r="451" spans="1:15" x14ac:dyDescent="0.2">
      <c r="A451" t="str">
        <f ca="1">IFERROR(__xludf.DUMMYFUNCTION("""COMPUTED_VALUE"""),"km")</f>
        <v>km</v>
      </c>
      <c r="B451" t="str">
        <f ca="1">IFERROR(__xludf.DUMMYFUNCTION("""COMPUTED_VALUE"""),"Model S 85")</f>
        <v>Model S 85</v>
      </c>
      <c r="C451">
        <f ca="1">IFERROR(__xludf.DUMMYFUNCTION("""COMPUTED_VALUE"""),399)</f>
        <v>399</v>
      </c>
      <c r="D451">
        <f ca="1">IFERROR(__xludf.DUMMYFUNCTION("""COMPUTED_VALUE"""),54500)</f>
        <v>54500</v>
      </c>
      <c r="E451">
        <f ca="1">IFERROR(__xludf.DUMMYFUNCTION("""COMPUTED_VALUE"""),371)</f>
        <v>371</v>
      </c>
      <c r="F451">
        <v>395</v>
      </c>
      <c r="G451">
        <v>0.93924050632911393</v>
      </c>
      <c r="H451">
        <v>33865</v>
      </c>
      <c r="I451">
        <v>54500</v>
      </c>
      <c r="J451">
        <v>33865</v>
      </c>
      <c r="K451">
        <v>0.96536443573687436</v>
      </c>
      <c r="L451">
        <f t="shared" ca="1" si="52"/>
        <v>230.52864099999999</v>
      </c>
      <c r="M451">
        <f t="shared" si="53"/>
        <v>245.44154499999999</v>
      </c>
      <c r="N451">
        <v>33865</v>
      </c>
      <c r="O451">
        <f t="shared" ca="1" si="54"/>
        <v>0.93924050632911393</v>
      </c>
    </row>
    <row r="452" spans="1:15" x14ac:dyDescent="0.2">
      <c r="A452" t="str">
        <f ca="1">IFERROR(__xludf.DUMMYFUNCTION("""COMPUTED_VALUE"""),"km")</f>
        <v>km</v>
      </c>
      <c r="B452" t="str">
        <f ca="1">IFERROR(__xludf.DUMMYFUNCTION("""COMPUTED_VALUE"""),"Model S 90D")</f>
        <v>Model S 90D</v>
      </c>
      <c r="D452">
        <f ca="1">IFERROR(__xludf.DUMMYFUNCTION("""COMPUTED_VALUE"""),82458)</f>
        <v>82458</v>
      </c>
      <c r="E452">
        <f ca="1">IFERROR(__xludf.DUMMYFUNCTION("""COMPUTED_VALUE"""),420)</f>
        <v>420</v>
      </c>
      <c r="F452">
        <v>447</v>
      </c>
      <c r="G452">
        <v>0.93959731543624159</v>
      </c>
      <c r="H452">
        <v>51237</v>
      </c>
      <c r="I452">
        <v>82458</v>
      </c>
      <c r="J452">
        <v>51237</v>
      </c>
      <c r="K452">
        <v>0.94976960407849131</v>
      </c>
      <c r="L452">
        <f t="shared" ca="1" si="52"/>
        <v>260.97582</v>
      </c>
      <c r="M452">
        <f t="shared" si="53"/>
        <v>277.752837</v>
      </c>
      <c r="N452">
        <v>51237</v>
      </c>
      <c r="O452">
        <f t="shared" ca="1" si="54"/>
        <v>0.93959731543624159</v>
      </c>
    </row>
    <row r="453" spans="1:15" x14ac:dyDescent="0.2">
      <c r="A453" t="str">
        <f ca="1">IFERROR(__xludf.DUMMYFUNCTION("""COMPUTED_VALUE"""),"km")</f>
        <v>km</v>
      </c>
      <c r="B453" t="str">
        <f ca="1">IFERROR(__xludf.DUMMYFUNCTION("""COMPUTED_VALUE"""),"Model S 90D")</f>
        <v>Model S 90D</v>
      </c>
      <c r="C453">
        <f ca="1">IFERROR(__xludf.DUMMYFUNCTION("""COMPUTED_VALUE"""),457)</f>
        <v>457</v>
      </c>
      <c r="D453">
        <f ca="1">IFERROR(__xludf.DUMMYFUNCTION("""COMPUTED_VALUE"""),50000)</f>
        <v>50000</v>
      </c>
      <c r="E453">
        <f ca="1">IFERROR(__xludf.DUMMYFUNCTION("""COMPUTED_VALUE"""),420)</f>
        <v>420</v>
      </c>
      <c r="F453">
        <v>447</v>
      </c>
      <c r="G453">
        <v>0.93959731543624159</v>
      </c>
      <c r="H453">
        <v>31069</v>
      </c>
      <c r="I453">
        <v>50000</v>
      </c>
      <c r="J453">
        <v>31069</v>
      </c>
      <c r="K453">
        <v>0.96801478944655506</v>
      </c>
      <c r="L453">
        <f t="shared" ca="1" si="52"/>
        <v>260.97582</v>
      </c>
      <c r="M453">
        <f t="shared" si="53"/>
        <v>277.752837</v>
      </c>
      <c r="N453">
        <v>31069</v>
      </c>
      <c r="O453">
        <f t="shared" ca="1" si="54"/>
        <v>0.93959731543624159</v>
      </c>
    </row>
    <row r="454" spans="1:15" x14ac:dyDescent="0.2">
      <c r="A454" t="str">
        <f ca="1">IFERROR(__xludf.DUMMYFUNCTION("""COMPUTED_VALUE"""),"mi")</f>
        <v>mi</v>
      </c>
      <c r="B454" t="str">
        <f ca="1">IFERROR(__xludf.DUMMYFUNCTION("""COMPUTED_VALUE"""),"Model S 85")</f>
        <v>Model S 85</v>
      </c>
      <c r="D454">
        <f ca="1">IFERROR(__xludf.DUMMYFUNCTION("""COMPUTED_VALUE"""),109200)</f>
        <v>109200</v>
      </c>
      <c r="E454">
        <f ca="1">IFERROR(__xludf.DUMMYFUNCTION("""COMPUTED_VALUE"""),250)</f>
        <v>250</v>
      </c>
      <c r="F454">
        <v>266</v>
      </c>
      <c r="G454">
        <v>0.93984962406015038</v>
      </c>
      <c r="H454">
        <v>109200</v>
      </c>
      <c r="I454">
        <v>175740</v>
      </c>
      <c r="J454">
        <v>109200</v>
      </c>
      <c r="K454">
        <v>0.90913290377735301</v>
      </c>
      <c r="L454">
        <f ca="1">IFERROR(__xludf.DUMMYFUNCTION("""COMPUTED_VALUE"""),250)</f>
        <v>250</v>
      </c>
      <c r="M454">
        <v>266</v>
      </c>
      <c r="N454">
        <v>109200</v>
      </c>
      <c r="O454">
        <f t="shared" ca="1" si="54"/>
        <v>0.93984962406015038</v>
      </c>
    </row>
    <row r="455" spans="1:15" x14ac:dyDescent="0.2">
      <c r="A455" t="str">
        <f ca="1">IFERROR(__xludf.DUMMYFUNCTION("""COMPUTED_VALUE"""),"mi")</f>
        <v>mi</v>
      </c>
      <c r="B455" t="str">
        <f ca="1">IFERROR(__xludf.DUMMYFUNCTION("""COMPUTED_VALUE"""),"Model S 85")</f>
        <v>Model S 85</v>
      </c>
      <c r="D455">
        <f ca="1">IFERROR(__xludf.DUMMYFUNCTION("""COMPUTED_VALUE"""),57159)</f>
        <v>57159</v>
      </c>
      <c r="E455">
        <f ca="1">IFERROR(__xludf.DUMMYFUNCTION("""COMPUTED_VALUE"""),250)</f>
        <v>250</v>
      </c>
      <c r="F455">
        <v>266</v>
      </c>
      <c r="G455">
        <v>0.93984962406015038</v>
      </c>
      <c r="H455">
        <v>57159</v>
      </c>
      <c r="I455">
        <v>91988</v>
      </c>
      <c r="J455">
        <v>57159</v>
      </c>
      <c r="K455">
        <v>0.94480242787799051</v>
      </c>
      <c r="L455">
        <f ca="1">IFERROR(__xludf.DUMMYFUNCTION("""COMPUTED_VALUE"""),250)</f>
        <v>250</v>
      </c>
      <c r="M455">
        <v>266</v>
      </c>
      <c r="N455">
        <v>57159</v>
      </c>
      <c r="O455">
        <f t="shared" ca="1" si="54"/>
        <v>0.93984962406015038</v>
      </c>
    </row>
    <row r="456" spans="1:15" x14ac:dyDescent="0.2">
      <c r="A456" t="str">
        <f ca="1">IFERROR(__xludf.DUMMYFUNCTION("""COMPUTED_VALUE"""),"mi")</f>
        <v>mi</v>
      </c>
      <c r="B456" t="str">
        <f ca="1">IFERROR(__xludf.DUMMYFUNCTION("""COMPUTED_VALUE"""),"Model S P85")</f>
        <v>Model S P85</v>
      </c>
      <c r="C456">
        <f ca="1">IFERROR(__xludf.DUMMYFUNCTION("""COMPUTED_VALUE"""),265)</f>
        <v>265</v>
      </c>
      <c r="D456">
        <f ca="1">IFERROR(__xludf.DUMMYFUNCTION("""COMPUTED_VALUE"""),66450)</f>
        <v>66450</v>
      </c>
      <c r="E456">
        <f ca="1">IFERROR(__xludf.DUMMYFUNCTION("""COMPUTED_VALUE"""),250)</f>
        <v>250</v>
      </c>
      <c r="F456">
        <v>266</v>
      </c>
      <c r="G456">
        <v>0.93984962406015038</v>
      </c>
      <c r="H456">
        <v>66450</v>
      </c>
      <c r="I456">
        <v>106941</v>
      </c>
      <c r="J456">
        <v>66450</v>
      </c>
      <c r="K456">
        <v>0.93737308538981745</v>
      </c>
      <c r="L456">
        <f ca="1">IFERROR(__xludf.DUMMYFUNCTION("""COMPUTED_VALUE"""),250)</f>
        <v>250</v>
      </c>
      <c r="M456">
        <v>266</v>
      </c>
      <c r="N456">
        <v>66450</v>
      </c>
      <c r="O456">
        <f t="shared" ca="1" si="54"/>
        <v>0.93984962406015038</v>
      </c>
    </row>
    <row r="457" spans="1:15" x14ac:dyDescent="0.2">
      <c r="A457" t="str">
        <f ca="1">IFERROR(__xludf.DUMMYFUNCTION("""COMPUTED_VALUE"""),"mi")</f>
        <v>mi</v>
      </c>
      <c r="B457" t="str">
        <f ca="1">IFERROR(__xludf.DUMMYFUNCTION("""COMPUTED_VALUE"""),"Model S 85")</f>
        <v>Model S 85</v>
      </c>
      <c r="C457">
        <f ca="1">IFERROR(__xludf.DUMMYFUNCTION("""COMPUTED_VALUE"""),271)</f>
        <v>271</v>
      </c>
      <c r="D457">
        <f ca="1">IFERROR(__xludf.DUMMYFUNCTION("""COMPUTED_VALUE"""),99872)</f>
        <v>99872</v>
      </c>
      <c r="E457">
        <f ca="1">IFERROR(__xludf.DUMMYFUNCTION("""COMPUTED_VALUE"""),250)</f>
        <v>250</v>
      </c>
      <c r="F457">
        <v>266</v>
      </c>
      <c r="G457">
        <v>0.93984962406015038</v>
      </c>
      <c r="H457">
        <v>99872</v>
      </c>
      <c r="I457">
        <v>160728</v>
      </c>
      <c r="J457">
        <v>99872</v>
      </c>
      <c r="K457">
        <v>0.91444033738427954</v>
      </c>
      <c r="L457">
        <f ca="1">IFERROR(__xludf.DUMMYFUNCTION("""COMPUTED_VALUE"""),250)</f>
        <v>250</v>
      </c>
      <c r="M457">
        <v>266</v>
      </c>
      <c r="N457">
        <v>99872</v>
      </c>
      <c r="O457">
        <f t="shared" ca="1" si="54"/>
        <v>0.93984962406015038</v>
      </c>
    </row>
    <row r="458" spans="1:15" x14ac:dyDescent="0.2">
      <c r="A458" t="str">
        <f ca="1">IFERROR(__xludf.DUMMYFUNCTION("""COMPUTED_VALUE"""),"mi")</f>
        <v>mi</v>
      </c>
      <c r="B458" t="str">
        <f ca="1">IFERROR(__xludf.DUMMYFUNCTION("""COMPUTED_VALUE"""),"Model S 85")</f>
        <v>Model S 85</v>
      </c>
      <c r="C458">
        <f ca="1">IFERROR(__xludf.DUMMYFUNCTION("""COMPUTED_VALUE"""),271)</f>
        <v>271</v>
      </c>
      <c r="D458">
        <f ca="1">IFERROR(__xludf.DUMMYFUNCTION("""COMPUTED_VALUE"""),92600)</f>
        <v>92600</v>
      </c>
      <c r="E458">
        <f ca="1">IFERROR(__xludf.DUMMYFUNCTION("""COMPUTED_VALUE"""),250)</f>
        <v>250</v>
      </c>
      <c r="F458">
        <v>266</v>
      </c>
      <c r="G458">
        <v>0.93984962406015038</v>
      </c>
      <c r="H458">
        <v>92600</v>
      </c>
      <c r="I458">
        <v>149025</v>
      </c>
      <c r="J458">
        <v>92600</v>
      </c>
      <c r="K458">
        <v>0.91891405984509245</v>
      </c>
      <c r="L458">
        <f ca="1">IFERROR(__xludf.DUMMYFUNCTION("""COMPUTED_VALUE"""),250)</f>
        <v>250</v>
      </c>
      <c r="M458">
        <v>266</v>
      </c>
      <c r="N458">
        <v>92600</v>
      </c>
      <c r="O458">
        <f t="shared" ca="1" si="54"/>
        <v>0.93984962406015038</v>
      </c>
    </row>
    <row r="459" spans="1:15" x14ac:dyDescent="0.2">
      <c r="A459" t="str">
        <f ca="1">IFERROR(__xludf.DUMMYFUNCTION("""COMPUTED_VALUE"""),"mi")</f>
        <v>mi</v>
      </c>
      <c r="B459" t="str">
        <f ca="1">IFERROR(__xludf.DUMMYFUNCTION("""COMPUTED_VALUE"""),"Model S 85")</f>
        <v>Model S 85</v>
      </c>
      <c r="C459">
        <f ca="1">IFERROR(__xludf.DUMMYFUNCTION("""COMPUTED_VALUE"""),271)</f>
        <v>271</v>
      </c>
      <c r="D459">
        <f ca="1">IFERROR(__xludf.DUMMYFUNCTION("""COMPUTED_VALUE"""),89100)</f>
        <v>89100</v>
      </c>
      <c r="E459">
        <f ca="1">IFERROR(__xludf.DUMMYFUNCTION("""COMPUTED_VALUE"""),250)</f>
        <v>250</v>
      </c>
      <c r="F459">
        <v>266</v>
      </c>
      <c r="G459">
        <v>0.93984962406015038</v>
      </c>
      <c r="H459">
        <v>89100</v>
      </c>
      <c r="I459">
        <v>143393</v>
      </c>
      <c r="J459">
        <v>89100</v>
      </c>
      <c r="K459">
        <v>0.92117071172928267</v>
      </c>
      <c r="L459">
        <f ca="1">IFERROR(__xludf.DUMMYFUNCTION("""COMPUTED_VALUE"""),250)</f>
        <v>250</v>
      </c>
      <c r="M459">
        <v>266</v>
      </c>
      <c r="N459">
        <v>89100</v>
      </c>
      <c r="O459">
        <f t="shared" ca="1" si="54"/>
        <v>0.93984962406015038</v>
      </c>
    </row>
    <row r="460" spans="1:15" x14ac:dyDescent="0.2">
      <c r="A460" t="str">
        <f ca="1">IFERROR(__xludf.DUMMYFUNCTION("""COMPUTED_VALUE"""),"mi")</f>
        <v>mi</v>
      </c>
      <c r="B460" t="str">
        <f ca="1">IFERROR(__xludf.DUMMYFUNCTION("""COMPUTED_VALUE"""),"Model S 85")</f>
        <v>Model S 85</v>
      </c>
      <c r="C460">
        <f ca="1">IFERROR(__xludf.DUMMYFUNCTION("""COMPUTED_VALUE"""),271)</f>
        <v>271</v>
      </c>
      <c r="D460">
        <f ca="1">IFERROR(__xludf.DUMMYFUNCTION("""COMPUTED_VALUE"""),61800)</f>
        <v>61800</v>
      </c>
      <c r="E460">
        <f ca="1">IFERROR(__xludf.DUMMYFUNCTION("""COMPUTED_VALUE"""),250)</f>
        <v>250</v>
      </c>
      <c r="F460">
        <v>266</v>
      </c>
      <c r="G460">
        <v>0.93984962406015038</v>
      </c>
      <c r="H460">
        <v>61800</v>
      </c>
      <c r="I460">
        <v>99457</v>
      </c>
      <c r="J460">
        <v>61800</v>
      </c>
      <c r="K460">
        <v>0.94103548807825621</v>
      </c>
      <c r="L460">
        <f ca="1">IFERROR(__xludf.DUMMYFUNCTION("""COMPUTED_VALUE"""),250)</f>
        <v>250</v>
      </c>
      <c r="M460">
        <v>266</v>
      </c>
      <c r="N460">
        <v>61800</v>
      </c>
      <c r="O460">
        <f t="shared" ca="1" si="54"/>
        <v>0.93984962406015038</v>
      </c>
    </row>
    <row r="461" spans="1:15" x14ac:dyDescent="0.2">
      <c r="A461" t="str">
        <f ca="1">IFERROR(__xludf.DUMMYFUNCTION("""COMPUTED_VALUE"""),"mi")</f>
        <v>mi</v>
      </c>
      <c r="B461" t="str">
        <f ca="1">IFERROR(__xludf.DUMMYFUNCTION("""COMPUTED_VALUE"""),"Model S P85+")</f>
        <v>Model S P85+</v>
      </c>
      <c r="D461">
        <f ca="1">IFERROR(__xludf.DUMMYFUNCTION("""COMPUTED_VALUE"""),43337)</f>
        <v>43337</v>
      </c>
      <c r="E461">
        <f ca="1">IFERROR(__xludf.DUMMYFUNCTION("""COMPUTED_VALUE"""),250)</f>
        <v>250</v>
      </c>
      <c r="F461">
        <v>266</v>
      </c>
      <c r="G461">
        <v>0.93984962406015038</v>
      </c>
      <c r="H461">
        <v>43337</v>
      </c>
      <c r="I461">
        <v>69744</v>
      </c>
      <c r="J461">
        <v>43337</v>
      </c>
      <c r="K461">
        <v>0.95667387912043922</v>
      </c>
      <c r="L461">
        <f ca="1">IFERROR(__xludf.DUMMYFUNCTION("""COMPUTED_VALUE"""),250)</f>
        <v>250</v>
      </c>
      <c r="M461">
        <v>266</v>
      </c>
      <c r="N461">
        <v>43337</v>
      </c>
      <c r="O461">
        <f t="shared" ca="1" si="54"/>
        <v>0.93984962406015038</v>
      </c>
    </row>
    <row r="462" spans="1:15" x14ac:dyDescent="0.2">
      <c r="A462" t="str">
        <f ca="1">IFERROR(__xludf.DUMMYFUNCTION("""COMPUTED_VALUE"""),"mi")</f>
        <v>mi</v>
      </c>
      <c r="B462" t="str">
        <f ca="1">IFERROR(__xludf.DUMMYFUNCTION("""COMPUTED_VALUE"""),"Model S 85")</f>
        <v>Model S 85</v>
      </c>
      <c r="C462">
        <f ca="1">IFERROR(__xludf.DUMMYFUNCTION("""COMPUTED_VALUE"""),256)</f>
        <v>256</v>
      </c>
      <c r="D462">
        <f ca="1">IFERROR(__xludf.DUMMYFUNCTION("""COMPUTED_VALUE"""),11500)</f>
        <v>11500</v>
      </c>
      <c r="E462">
        <f ca="1">IFERROR(__xludf.DUMMYFUNCTION("""COMPUTED_VALUE"""),250)</f>
        <v>250</v>
      </c>
      <c r="F462">
        <v>266</v>
      </c>
      <c r="G462">
        <v>0.93984962406015038</v>
      </c>
      <c r="H462">
        <v>11500</v>
      </c>
      <c r="I462">
        <v>18507</v>
      </c>
      <c r="J462">
        <v>11500</v>
      </c>
      <c r="K462">
        <v>0.98762575542804332</v>
      </c>
      <c r="L462">
        <f ca="1">IFERROR(__xludf.DUMMYFUNCTION("""COMPUTED_VALUE"""),250)</f>
        <v>250</v>
      </c>
      <c r="M462">
        <v>266</v>
      </c>
      <c r="N462">
        <v>11500</v>
      </c>
      <c r="O462">
        <f t="shared" ca="1" si="54"/>
        <v>0.93984962406015038</v>
      </c>
    </row>
    <row r="463" spans="1:15" x14ac:dyDescent="0.2">
      <c r="A463" t="str">
        <f ca="1">IFERROR(__xludf.DUMMYFUNCTION("""COMPUTED_VALUE"""),"mi")</f>
        <v>mi</v>
      </c>
      <c r="B463" t="str">
        <f ca="1">IFERROR(__xludf.DUMMYFUNCTION("""COMPUTED_VALUE"""),"Model S P85")</f>
        <v>Model S P85</v>
      </c>
      <c r="C463">
        <f ca="1">IFERROR(__xludf.DUMMYFUNCTION("""COMPUTED_VALUE"""),260)</f>
        <v>260</v>
      </c>
      <c r="D463">
        <f ca="1">IFERROR(__xludf.DUMMYFUNCTION("""COMPUTED_VALUE"""),51123)</f>
        <v>51123</v>
      </c>
      <c r="E463">
        <f ca="1">IFERROR(__xludf.DUMMYFUNCTION("""COMPUTED_VALUE"""),250)</f>
        <v>250</v>
      </c>
      <c r="F463">
        <v>266</v>
      </c>
      <c r="G463">
        <v>0.93984962406015038</v>
      </c>
      <c r="H463">
        <v>51123</v>
      </c>
      <c r="I463">
        <v>82274</v>
      </c>
      <c r="J463">
        <v>51123</v>
      </c>
      <c r="K463">
        <v>0.94986727004411786</v>
      </c>
      <c r="L463">
        <f ca="1">IFERROR(__xludf.DUMMYFUNCTION("""COMPUTED_VALUE"""),250)</f>
        <v>250</v>
      </c>
      <c r="M463">
        <v>266</v>
      </c>
      <c r="N463">
        <v>51123</v>
      </c>
      <c r="O463">
        <f t="shared" ca="1" si="54"/>
        <v>0.93984962406015038</v>
      </c>
    </row>
    <row r="464" spans="1:15" x14ac:dyDescent="0.2">
      <c r="A464" t="str">
        <f ca="1">IFERROR(__xludf.DUMMYFUNCTION("""COMPUTED_VALUE"""),"mi")</f>
        <v>mi</v>
      </c>
      <c r="B464" t="str">
        <f ca="1">IFERROR(__xludf.DUMMYFUNCTION("""COMPUTED_VALUE"""),"Model S 85")</f>
        <v>Model S 85</v>
      </c>
      <c r="D464">
        <f ca="1">IFERROR(__xludf.DUMMYFUNCTION("""COMPUTED_VALUE"""),60350)</f>
        <v>60350</v>
      </c>
      <c r="E464">
        <f ca="1">IFERROR(__xludf.DUMMYFUNCTION("""COMPUTED_VALUE"""),250)</f>
        <v>250</v>
      </c>
      <c r="F464">
        <v>266</v>
      </c>
      <c r="G464">
        <v>0.93984962406015038</v>
      </c>
      <c r="H464">
        <v>60350</v>
      </c>
      <c r="I464">
        <v>97124</v>
      </c>
      <c r="J464">
        <v>60350</v>
      </c>
      <c r="K464">
        <v>0.94220016240392079</v>
      </c>
      <c r="L464">
        <f ca="1">IFERROR(__xludf.DUMMYFUNCTION("""COMPUTED_VALUE"""),250)</f>
        <v>250</v>
      </c>
      <c r="M464">
        <v>266</v>
      </c>
      <c r="N464">
        <v>60350</v>
      </c>
      <c r="O464">
        <f t="shared" ca="1" si="54"/>
        <v>0.93984962406015038</v>
      </c>
    </row>
    <row r="465" spans="1:15" x14ac:dyDescent="0.2">
      <c r="A465" t="str">
        <f ca="1">IFERROR(__xludf.DUMMYFUNCTION("""COMPUTED_VALUE"""),"km")</f>
        <v>km</v>
      </c>
      <c r="B465" t="str">
        <f ca="1">IFERROR(__xludf.DUMMYFUNCTION("""COMPUTED_VALUE"""),"Model 3 LR AWD")</f>
        <v>Model 3 LR AWD</v>
      </c>
      <c r="C465">
        <f ca="1">IFERROR(__xludf.DUMMYFUNCTION("""COMPUTED_VALUE"""),499)</f>
        <v>499</v>
      </c>
      <c r="D465">
        <f ca="1">IFERROR(__xludf.DUMMYFUNCTION("""COMPUTED_VALUE"""),41055)</f>
        <v>41055</v>
      </c>
      <c r="E465">
        <f ca="1">IFERROR(__xludf.DUMMYFUNCTION("""COMPUTED_VALUE"""),469)</f>
        <v>469</v>
      </c>
      <c r="F465">
        <v>499</v>
      </c>
      <c r="G465">
        <v>0.93987975951903813</v>
      </c>
      <c r="H465">
        <v>25510</v>
      </c>
      <c r="I465">
        <v>41055</v>
      </c>
      <c r="J465">
        <v>25510</v>
      </c>
      <c r="K465">
        <v>0.97339680727142786</v>
      </c>
      <c r="L465">
        <f t="shared" ref="L465:M472" ca="1" si="55">E465*0.621371</f>
        <v>291.422999</v>
      </c>
      <c r="M465">
        <f t="shared" si="55"/>
        <v>310.06412899999998</v>
      </c>
      <c r="N465">
        <v>25510</v>
      </c>
      <c r="O465">
        <f t="shared" ca="1" si="54"/>
        <v>0.93987975951903813</v>
      </c>
    </row>
    <row r="466" spans="1:15" x14ac:dyDescent="0.2">
      <c r="A466" t="str">
        <f ca="1">IFERROR(__xludf.DUMMYFUNCTION("""COMPUTED_VALUE"""),"km")</f>
        <v>km</v>
      </c>
      <c r="B466" t="str">
        <f ca="1">IFERROR(__xludf.DUMMYFUNCTION("""COMPUTED_VALUE"""),"Model S P85D")</f>
        <v>Model S P85D</v>
      </c>
      <c r="D466">
        <f ca="1">IFERROR(__xludf.DUMMYFUNCTION("""COMPUTED_VALUE"""),93075)</f>
        <v>93075</v>
      </c>
      <c r="E466">
        <f ca="1">IFERROR(__xludf.DUMMYFUNCTION("""COMPUTED_VALUE"""),379)</f>
        <v>379</v>
      </c>
      <c r="F466">
        <v>403</v>
      </c>
      <c r="G466">
        <v>0.94044665012406947</v>
      </c>
      <c r="H466">
        <v>57834</v>
      </c>
      <c r="I466">
        <v>93075</v>
      </c>
      <c r="J466">
        <v>57834</v>
      </c>
      <c r="K466">
        <v>0.94424729389523343</v>
      </c>
      <c r="L466">
        <f t="shared" ca="1" si="55"/>
        <v>235.49960899999999</v>
      </c>
      <c r="M466">
        <f t="shared" si="55"/>
        <v>250.41251299999999</v>
      </c>
      <c r="N466">
        <v>57834</v>
      </c>
      <c r="O466">
        <f t="shared" ca="1" si="54"/>
        <v>0.94044665012406947</v>
      </c>
    </row>
    <row r="467" spans="1:15" x14ac:dyDescent="0.2">
      <c r="A467" t="str">
        <f ca="1">IFERROR(__xludf.DUMMYFUNCTION("""COMPUTED_VALUE"""),"km")</f>
        <v>km</v>
      </c>
      <c r="B467" t="str">
        <f ca="1">IFERROR(__xludf.DUMMYFUNCTION("""COMPUTED_VALUE"""),"Model S P85D")</f>
        <v>Model S P85D</v>
      </c>
      <c r="C467">
        <f ca="1">IFERROR(__xludf.DUMMYFUNCTION("""COMPUTED_VALUE"""),411)</f>
        <v>411</v>
      </c>
      <c r="D467">
        <f ca="1">IFERROR(__xludf.DUMMYFUNCTION("""COMPUTED_VALUE"""),63000)</f>
        <v>63000</v>
      </c>
      <c r="E467">
        <f ca="1">IFERROR(__xludf.DUMMYFUNCTION("""COMPUTED_VALUE"""),379)</f>
        <v>379</v>
      </c>
      <c r="F467">
        <v>403</v>
      </c>
      <c r="G467">
        <v>0.94044665012406947</v>
      </c>
      <c r="H467">
        <v>39146</v>
      </c>
      <c r="I467">
        <v>63000</v>
      </c>
      <c r="J467">
        <v>39146</v>
      </c>
      <c r="K467">
        <v>0.96046355418251395</v>
      </c>
      <c r="L467">
        <f t="shared" ca="1" si="55"/>
        <v>235.49960899999999</v>
      </c>
      <c r="M467">
        <f t="shared" si="55"/>
        <v>250.41251299999999</v>
      </c>
      <c r="N467">
        <v>39146</v>
      </c>
      <c r="O467">
        <f t="shared" ca="1" si="54"/>
        <v>0.94044665012406947</v>
      </c>
    </row>
    <row r="468" spans="1:15" x14ac:dyDescent="0.2">
      <c r="A468" t="str">
        <f ca="1">IFERROR(__xludf.DUMMYFUNCTION("""COMPUTED_VALUE"""),"km")</f>
        <v>km</v>
      </c>
      <c r="B468" t="str">
        <f ca="1">IFERROR(__xludf.DUMMYFUNCTION("""COMPUTED_VALUE"""),"Model S P85D")</f>
        <v>Model S P85D</v>
      </c>
      <c r="C468">
        <f ca="1">IFERROR(__xludf.DUMMYFUNCTION("""COMPUTED_VALUE"""),406)</f>
        <v>406</v>
      </c>
      <c r="D468">
        <f ca="1">IFERROR(__xludf.DUMMYFUNCTION("""COMPUTED_VALUE"""),30909)</f>
        <v>30909</v>
      </c>
      <c r="E468">
        <f ca="1">IFERROR(__xludf.DUMMYFUNCTION("""COMPUTED_VALUE"""),379)</f>
        <v>379</v>
      </c>
      <c r="F468">
        <v>403</v>
      </c>
      <c r="G468">
        <v>0.94044665012406947</v>
      </c>
      <c r="H468">
        <v>19206</v>
      </c>
      <c r="I468">
        <v>30909</v>
      </c>
      <c r="J468">
        <v>19206</v>
      </c>
      <c r="K468">
        <v>0.97968294346331453</v>
      </c>
      <c r="L468">
        <f t="shared" ca="1" si="55"/>
        <v>235.49960899999999</v>
      </c>
      <c r="M468">
        <f t="shared" si="55"/>
        <v>250.41251299999999</v>
      </c>
      <c r="N468">
        <v>19206</v>
      </c>
      <c r="O468">
        <f t="shared" ca="1" si="54"/>
        <v>0.94044665012406947</v>
      </c>
    </row>
    <row r="469" spans="1:15" x14ac:dyDescent="0.2">
      <c r="A469" t="str">
        <f ca="1">IFERROR(__xludf.DUMMYFUNCTION("""COMPUTED_VALUE"""),"km")</f>
        <v>km</v>
      </c>
      <c r="B469" t="str">
        <f ca="1">IFERROR(__xludf.DUMMYFUNCTION("""COMPUTED_VALUE"""),"Model S P85D")</f>
        <v>Model S P85D</v>
      </c>
      <c r="C469">
        <f ca="1">IFERROR(__xludf.DUMMYFUNCTION("""COMPUTED_VALUE"""),406)</f>
        <v>406</v>
      </c>
      <c r="D469">
        <f ca="1">IFERROR(__xludf.DUMMYFUNCTION("""COMPUTED_VALUE"""),30001)</f>
        <v>30001</v>
      </c>
      <c r="E469">
        <f ca="1">IFERROR(__xludf.DUMMYFUNCTION("""COMPUTED_VALUE"""),379)</f>
        <v>379</v>
      </c>
      <c r="F469">
        <v>403</v>
      </c>
      <c r="G469">
        <v>0.94044665012406947</v>
      </c>
      <c r="H469">
        <v>18642</v>
      </c>
      <c r="I469">
        <v>30001</v>
      </c>
      <c r="J469">
        <v>18642</v>
      </c>
      <c r="K469">
        <v>0.98025484526899875</v>
      </c>
      <c r="L469">
        <f t="shared" ca="1" si="55"/>
        <v>235.49960899999999</v>
      </c>
      <c r="M469">
        <f t="shared" si="55"/>
        <v>250.41251299999999</v>
      </c>
      <c r="N469">
        <v>18642</v>
      </c>
      <c r="O469">
        <f t="shared" ca="1" si="54"/>
        <v>0.94044665012406947</v>
      </c>
    </row>
    <row r="470" spans="1:15" x14ac:dyDescent="0.2">
      <c r="A470" t="str">
        <f ca="1">IFERROR(__xludf.DUMMYFUNCTION("""COMPUTED_VALUE"""),"km")</f>
        <v>km</v>
      </c>
      <c r="B470" t="str">
        <f ca="1">IFERROR(__xludf.DUMMYFUNCTION("""COMPUTED_VALUE"""),"Model S P85D")</f>
        <v>Model S P85D</v>
      </c>
      <c r="C470">
        <f ca="1">IFERROR(__xludf.DUMMYFUNCTION("""COMPUTED_VALUE"""),406)</f>
        <v>406</v>
      </c>
      <c r="D470">
        <f ca="1">IFERROR(__xludf.DUMMYFUNCTION("""COMPUTED_VALUE"""),28424)</f>
        <v>28424</v>
      </c>
      <c r="E470">
        <f ca="1">IFERROR(__xludf.DUMMYFUNCTION("""COMPUTED_VALUE"""),379)</f>
        <v>379</v>
      </c>
      <c r="F470">
        <v>403</v>
      </c>
      <c r="G470">
        <v>0.94044665012406947</v>
      </c>
      <c r="H470">
        <v>17662</v>
      </c>
      <c r="I470">
        <v>28424</v>
      </c>
      <c r="J470">
        <v>17662</v>
      </c>
      <c r="K470">
        <v>0.98125174226606204</v>
      </c>
      <c r="L470">
        <f t="shared" ca="1" si="55"/>
        <v>235.49960899999999</v>
      </c>
      <c r="M470">
        <f t="shared" si="55"/>
        <v>250.41251299999999</v>
      </c>
      <c r="N470">
        <v>17662</v>
      </c>
      <c r="O470">
        <f t="shared" ca="1" si="54"/>
        <v>0.94044665012406947</v>
      </c>
    </row>
    <row r="471" spans="1:15" x14ac:dyDescent="0.2">
      <c r="A471" t="str">
        <f ca="1">IFERROR(__xludf.DUMMYFUNCTION("""COMPUTED_VALUE"""),"km")</f>
        <v>km</v>
      </c>
      <c r="B471" t="str">
        <f ca="1">IFERROR(__xludf.DUMMYFUNCTION("""COMPUTED_VALUE"""),"Model S 85D")</f>
        <v>Model S 85D</v>
      </c>
      <c r="D471">
        <f ca="1">IFERROR(__xludf.DUMMYFUNCTION("""COMPUTED_VALUE"""),27700)</f>
        <v>27700</v>
      </c>
      <c r="E471">
        <f ca="1">IFERROR(__xludf.DUMMYFUNCTION("""COMPUTED_VALUE"""),400)</f>
        <v>400</v>
      </c>
      <c r="F471">
        <v>425</v>
      </c>
      <c r="G471">
        <v>0.94117647058823528</v>
      </c>
      <c r="H471">
        <v>17212</v>
      </c>
      <c r="I471">
        <v>27700</v>
      </c>
      <c r="J471">
        <v>17212</v>
      </c>
      <c r="K471">
        <v>0.98171095722708679</v>
      </c>
      <c r="L471">
        <f t="shared" ca="1" si="55"/>
        <v>248.54840000000002</v>
      </c>
      <c r="M471">
        <f t="shared" si="55"/>
        <v>264.08267499999999</v>
      </c>
      <c r="N471">
        <v>17212</v>
      </c>
      <c r="O471">
        <f t="shared" ca="1" si="54"/>
        <v>0.94117647058823539</v>
      </c>
    </row>
    <row r="472" spans="1:15" x14ac:dyDescent="0.2">
      <c r="A472" t="str">
        <f ca="1">IFERROR(__xludf.DUMMYFUNCTION("""COMPUTED_VALUE"""),"km")</f>
        <v>km</v>
      </c>
      <c r="B472" t="str">
        <f ca="1">IFERROR(__xludf.DUMMYFUNCTION("""COMPUTED_VALUE"""),"Model S P85")</f>
        <v>Model S P85</v>
      </c>
      <c r="C472">
        <f ca="1">IFERROR(__xludf.DUMMYFUNCTION("""COMPUTED_VALUE"""),425)</f>
        <v>425</v>
      </c>
      <c r="D472">
        <f ca="1">IFERROR(__xludf.DUMMYFUNCTION("""COMPUTED_VALUE"""),120000)</f>
        <v>120000</v>
      </c>
      <c r="E472">
        <f ca="1">IFERROR(__xludf.DUMMYFUNCTION("""COMPUTED_VALUE"""),403)</f>
        <v>403</v>
      </c>
      <c r="F472">
        <v>428</v>
      </c>
      <c r="G472">
        <v>0.94158878504672894</v>
      </c>
      <c r="H472">
        <v>74565</v>
      </c>
      <c r="I472">
        <v>120000</v>
      </c>
      <c r="J472">
        <v>74565</v>
      </c>
      <c r="K472">
        <v>0.93125407819227712</v>
      </c>
      <c r="L472">
        <f t="shared" ca="1" si="55"/>
        <v>250.41251299999999</v>
      </c>
      <c r="M472">
        <f t="shared" si="55"/>
        <v>265.94678800000003</v>
      </c>
      <c r="N472">
        <v>74565</v>
      </c>
      <c r="O472">
        <f t="shared" ca="1" si="54"/>
        <v>0.94158878504672883</v>
      </c>
    </row>
    <row r="473" spans="1:15" x14ac:dyDescent="0.2">
      <c r="A473" t="str">
        <f ca="1">IFERROR(__xludf.DUMMYFUNCTION("""COMPUTED_VALUE"""),"mi")</f>
        <v>mi</v>
      </c>
      <c r="B473" t="str">
        <f ca="1">IFERROR(__xludf.DUMMYFUNCTION("""COMPUTED_VALUE"""),"Model X 90D")</f>
        <v>Model X 90D</v>
      </c>
      <c r="C473">
        <f ca="1">IFERROR(__xludf.DUMMYFUNCTION("""COMPUTED_VALUE"""),257)</f>
        <v>257</v>
      </c>
      <c r="D473">
        <f ca="1">IFERROR(__xludf.DUMMYFUNCTION("""COMPUTED_VALUE"""),37883)</f>
        <v>37883</v>
      </c>
      <c r="E473">
        <f ca="1">IFERROR(__xludf.DUMMYFUNCTION("""COMPUTED_VALUE"""),242)</f>
        <v>242</v>
      </c>
      <c r="F473">
        <v>257</v>
      </c>
      <c r="G473">
        <v>0.94163424124513617</v>
      </c>
      <c r="H473">
        <v>37883</v>
      </c>
      <c r="I473">
        <v>60967</v>
      </c>
      <c r="J473">
        <v>37883</v>
      </c>
      <c r="K473">
        <v>0.96162314391906567</v>
      </c>
      <c r="L473">
        <f ca="1">IFERROR(__xludf.DUMMYFUNCTION("""COMPUTED_VALUE"""),242)</f>
        <v>242</v>
      </c>
      <c r="M473">
        <v>257</v>
      </c>
      <c r="N473">
        <v>37883</v>
      </c>
      <c r="O473">
        <f t="shared" ca="1" si="54"/>
        <v>0.94163424124513617</v>
      </c>
    </row>
    <row r="474" spans="1:15" x14ac:dyDescent="0.2">
      <c r="A474" t="str">
        <f ca="1">IFERROR(__xludf.DUMMYFUNCTION("""COMPUTED_VALUE"""),"mi")</f>
        <v>mi</v>
      </c>
      <c r="B474" t="str">
        <f ca="1">IFERROR(__xludf.DUMMYFUNCTION("""COMPUTED_VALUE"""),"Model X 90D")</f>
        <v>Model X 90D</v>
      </c>
      <c r="D474">
        <f ca="1">IFERROR(__xludf.DUMMYFUNCTION("""COMPUTED_VALUE"""),20362)</f>
        <v>20362</v>
      </c>
      <c r="E474">
        <f ca="1">IFERROR(__xludf.DUMMYFUNCTION("""COMPUTED_VALUE"""),242)</f>
        <v>242</v>
      </c>
      <c r="F474">
        <v>257</v>
      </c>
      <c r="G474">
        <v>0.94163424124513617</v>
      </c>
      <c r="H474">
        <v>20362</v>
      </c>
      <c r="I474">
        <v>32769</v>
      </c>
      <c r="J474">
        <v>20362</v>
      </c>
      <c r="K474">
        <v>0.97851619946615365</v>
      </c>
      <c r="L474">
        <f ca="1">IFERROR(__xludf.DUMMYFUNCTION("""COMPUTED_VALUE"""),242)</f>
        <v>242</v>
      </c>
      <c r="M474">
        <v>257</v>
      </c>
      <c r="N474">
        <v>20362</v>
      </c>
      <c r="O474">
        <f t="shared" ca="1" si="54"/>
        <v>0.94163424124513617</v>
      </c>
    </row>
    <row r="475" spans="1:15" x14ac:dyDescent="0.2">
      <c r="A475" t="str">
        <f ca="1">IFERROR(__xludf.DUMMYFUNCTION("""COMPUTED_VALUE"""),"km")</f>
        <v>km</v>
      </c>
      <c r="B475" t="str">
        <f ca="1">IFERROR(__xludf.DUMMYFUNCTION("""COMPUTED_VALUE"""),"Model S 70D")</f>
        <v>Model S 70D</v>
      </c>
      <c r="C475">
        <f ca="1">IFERROR(__xludf.DUMMYFUNCTION("""COMPUTED_VALUE"""),339)</f>
        <v>339</v>
      </c>
      <c r="D475">
        <f ca="1">IFERROR(__xludf.DUMMYFUNCTION("""COMPUTED_VALUE"""),300)</f>
        <v>300</v>
      </c>
      <c r="E475">
        <f ca="1">IFERROR(__xludf.DUMMYFUNCTION("""COMPUTED_VALUE"""),339)</f>
        <v>339</v>
      </c>
      <c r="F475">
        <v>360</v>
      </c>
      <c r="G475">
        <v>0.94166666666666665</v>
      </c>
      <c r="H475">
        <v>186</v>
      </c>
      <c r="I475">
        <v>300</v>
      </c>
      <c r="J475">
        <v>186</v>
      </c>
      <c r="K475">
        <v>0.99979449021831845</v>
      </c>
      <c r="L475">
        <f t="shared" ref="L475:L500" ca="1" si="56">E475*0.621371</f>
        <v>210.644769</v>
      </c>
      <c r="M475">
        <f t="shared" ref="M475:M500" si="57">F475*0.621371</f>
        <v>223.69355999999999</v>
      </c>
      <c r="N475">
        <v>186</v>
      </c>
      <c r="O475">
        <f t="shared" ca="1" si="54"/>
        <v>0.94166666666666665</v>
      </c>
    </row>
    <row r="476" spans="1:15" x14ac:dyDescent="0.2">
      <c r="A476" t="str">
        <f ca="1">IFERROR(__xludf.DUMMYFUNCTION("""COMPUTED_VALUE"""),"km")</f>
        <v>km</v>
      </c>
      <c r="B476" t="str">
        <f ca="1">IFERROR(__xludf.DUMMYFUNCTION("""COMPUTED_VALUE"""),"Model S 85")</f>
        <v>Model S 85</v>
      </c>
      <c r="C476">
        <f ca="1">IFERROR(__xludf.DUMMYFUNCTION("""COMPUTED_VALUE"""),388)</f>
        <v>388</v>
      </c>
      <c r="D476">
        <f ca="1">IFERROR(__xludf.DUMMYFUNCTION("""COMPUTED_VALUE"""),149995)</f>
        <v>149995</v>
      </c>
      <c r="E476">
        <f ca="1">IFERROR(__xludf.DUMMYFUNCTION("""COMPUTED_VALUE"""),372)</f>
        <v>372</v>
      </c>
      <c r="F476">
        <v>395</v>
      </c>
      <c r="G476">
        <v>0.9417721518987342</v>
      </c>
      <c r="H476">
        <v>93203</v>
      </c>
      <c r="I476">
        <v>149995</v>
      </c>
      <c r="J476">
        <v>93203</v>
      </c>
      <c r="K476">
        <v>0.91853217080923766</v>
      </c>
      <c r="L476">
        <f t="shared" ca="1" si="56"/>
        <v>231.150012</v>
      </c>
      <c r="M476">
        <f t="shared" si="57"/>
        <v>245.44154499999999</v>
      </c>
      <c r="N476">
        <v>93203</v>
      </c>
      <c r="O476">
        <f t="shared" ca="1" si="54"/>
        <v>0.9417721518987342</v>
      </c>
    </row>
    <row r="477" spans="1:15" x14ac:dyDescent="0.2">
      <c r="A477" t="str">
        <f ca="1">IFERROR(__xludf.DUMMYFUNCTION("""COMPUTED_VALUE"""),"km")</f>
        <v>km</v>
      </c>
      <c r="B477" t="str">
        <f ca="1">IFERROR(__xludf.DUMMYFUNCTION("""COMPUTED_VALUE"""),"Model S P85")</f>
        <v>Model S P85</v>
      </c>
      <c r="D477">
        <f ca="1">IFERROR(__xludf.DUMMYFUNCTION("""COMPUTED_VALUE"""),116000)</f>
        <v>116000</v>
      </c>
      <c r="E477">
        <f ca="1">IFERROR(__xludf.DUMMYFUNCTION("""COMPUTED_VALUE"""),372)</f>
        <v>372</v>
      </c>
      <c r="F477">
        <v>395</v>
      </c>
      <c r="G477">
        <v>0.9417721518987342</v>
      </c>
      <c r="H477">
        <v>72079</v>
      </c>
      <c r="I477">
        <v>116000</v>
      </c>
      <c r="J477">
        <v>72079</v>
      </c>
      <c r="K477">
        <v>0.93309142733732697</v>
      </c>
      <c r="L477">
        <f t="shared" ca="1" si="56"/>
        <v>231.150012</v>
      </c>
      <c r="M477">
        <f t="shared" si="57"/>
        <v>245.44154499999999</v>
      </c>
      <c r="N477">
        <v>72079</v>
      </c>
      <c r="O477">
        <f t="shared" ca="1" si="54"/>
        <v>0.9417721518987342</v>
      </c>
    </row>
    <row r="478" spans="1:15" x14ac:dyDescent="0.2">
      <c r="A478" t="str">
        <f ca="1">IFERROR(__xludf.DUMMYFUNCTION("""COMPUTED_VALUE"""),"km")</f>
        <v>km</v>
      </c>
      <c r="B478" t="str">
        <f ca="1">IFERROR(__xludf.DUMMYFUNCTION("""COMPUTED_VALUE"""),"Model S P85+")</f>
        <v>Model S P85+</v>
      </c>
      <c r="C478">
        <f ca="1">IFERROR(__xludf.DUMMYFUNCTION("""COMPUTED_VALUE"""),395)</f>
        <v>395</v>
      </c>
      <c r="D478">
        <f ca="1">IFERROR(__xludf.DUMMYFUNCTION("""COMPUTED_VALUE"""),173000)</f>
        <v>173000</v>
      </c>
      <c r="E478">
        <f ca="1">IFERROR(__xludf.DUMMYFUNCTION("""COMPUTED_VALUE"""),372)</f>
        <v>372</v>
      </c>
      <c r="F478">
        <v>395</v>
      </c>
      <c r="G478">
        <v>0.9417721518987342</v>
      </c>
      <c r="H478">
        <v>107497</v>
      </c>
      <c r="I478">
        <v>173000</v>
      </c>
      <c r="J478">
        <v>107497</v>
      </c>
      <c r="K478">
        <v>0.91006513527909072</v>
      </c>
      <c r="L478">
        <f t="shared" ca="1" si="56"/>
        <v>231.150012</v>
      </c>
      <c r="M478">
        <f t="shared" si="57"/>
        <v>245.44154499999999</v>
      </c>
      <c r="N478">
        <v>107497</v>
      </c>
      <c r="O478">
        <f t="shared" ca="1" si="54"/>
        <v>0.9417721518987342</v>
      </c>
    </row>
    <row r="479" spans="1:15" x14ac:dyDescent="0.2">
      <c r="A479" t="str">
        <f ca="1">IFERROR(__xludf.DUMMYFUNCTION("""COMPUTED_VALUE"""),"km")</f>
        <v>km</v>
      </c>
      <c r="B479" t="str">
        <f ca="1">IFERROR(__xludf.DUMMYFUNCTION("""COMPUTED_VALUE"""),"Model S P85")</f>
        <v>Model S P85</v>
      </c>
      <c r="C479">
        <f ca="1">IFERROR(__xludf.DUMMYFUNCTION("""COMPUTED_VALUE"""),405)</f>
        <v>405</v>
      </c>
      <c r="D479">
        <f ca="1">IFERROR(__xludf.DUMMYFUNCTION("""COMPUTED_VALUE"""),113204)</f>
        <v>113204</v>
      </c>
      <c r="E479">
        <f ca="1">IFERROR(__xludf.DUMMYFUNCTION("""COMPUTED_VALUE"""),372)</f>
        <v>372</v>
      </c>
      <c r="F479">
        <v>395</v>
      </c>
      <c r="G479">
        <v>0.9417721518987342</v>
      </c>
      <c r="H479">
        <v>70342</v>
      </c>
      <c r="I479">
        <v>113204</v>
      </c>
      <c r="J479">
        <v>70342</v>
      </c>
      <c r="K479">
        <v>0.93439513846618549</v>
      </c>
      <c r="L479">
        <f t="shared" ca="1" si="56"/>
        <v>231.150012</v>
      </c>
      <c r="M479">
        <f t="shared" si="57"/>
        <v>245.44154499999999</v>
      </c>
      <c r="N479">
        <v>70342</v>
      </c>
      <c r="O479">
        <f t="shared" ca="1" si="54"/>
        <v>0.9417721518987342</v>
      </c>
    </row>
    <row r="480" spans="1:15" x14ac:dyDescent="0.2">
      <c r="A480" t="str">
        <f ca="1">IFERROR(__xludf.DUMMYFUNCTION("""COMPUTED_VALUE"""),"km")</f>
        <v>km</v>
      </c>
      <c r="B480" t="str">
        <f ca="1">IFERROR(__xludf.DUMMYFUNCTION("""COMPUTED_VALUE"""),"Model S 85")</f>
        <v>Model S 85</v>
      </c>
      <c r="D480">
        <f ca="1">IFERROR(__xludf.DUMMYFUNCTION("""COMPUTED_VALUE"""),104958)</f>
        <v>104958</v>
      </c>
      <c r="E480">
        <f ca="1">IFERROR(__xludf.DUMMYFUNCTION("""COMPUTED_VALUE"""),372)</f>
        <v>372</v>
      </c>
      <c r="F480">
        <v>395</v>
      </c>
      <c r="G480">
        <v>0.9417721518987342</v>
      </c>
      <c r="H480">
        <v>65218</v>
      </c>
      <c r="I480">
        <v>104958</v>
      </c>
      <c r="J480">
        <v>65218</v>
      </c>
      <c r="K480">
        <v>0.9383325137533387</v>
      </c>
      <c r="L480">
        <f t="shared" ca="1" si="56"/>
        <v>231.150012</v>
      </c>
      <c r="M480">
        <f t="shared" si="57"/>
        <v>245.44154499999999</v>
      </c>
      <c r="N480">
        <v>65218</v>
      </c>
      <c r="O480">
        <f t="shared" ca="1" si="54"/>
        <v>0.9417721518987342</v>
      </c>
    </row>
    <row r="481" spans="1:15" x14ac:dyDescent="0.2">
      <c r="A481" t="str">
        <f ca="1">IFERROR(__xludf.DUMMYFUNCTION("""COMPUTED_VALUE"""),"km")</f>
        <v>km</v>
      </c>
      <c r="B481" t="str">
        <f ca="1">IFERROR(__xludf.DUMMYFUNCTION("""COMPUTED_VALUE"""),"Model S 85")</f>
        <v>Model S 85</v>
      </c>
      <c r="D481">
        <f ca="1">IFERROR(__xludf.DUMMYFUNCTION("""COMPUTED_VALUE"""),89000)</f>
        <v>89000</v>
      </c>
      <c r="E481">
        <f ca="1">IFERROR(__xludf.DUMMYFUNCTION("""COMPUTED_VALUE"""),372)</f>
        <v>372</v>
      </c>
      <c r="F481">
        <v>395</v>
      </c>
      <c r="G481">
        <v>0.9417721518987342</v>
      </c>
      <c r="H481">
        <v>55302</v>
      </c>
      <c r="I481">
        <v>89000</v>
      </c>
      <c r="J481">
        <v>55302</v>
      </c>
      <c r="K481">
        <v>0.94634049333536097</v>
      </c>
      <c r="L481">
        <f t="shared" ca="1" si="56"/>
        <v>231.150012</v>
      </c>
      <c r="M481">
        <f t="shared" si="57"/>
        <v>245.44154499999999</v>
      </c>
      <c r="N481">
        <v>55302</v>
      </c>
      <c r="O481">
        <f t="shared" ca="1" si="54"/>
        <v>0.9417721518987342</v>
      </c>
    </row>
    <row r="482" spans="1:15" x14ac:dyDescent="0.2">
      <c r="A482" t="str">
        <f ca="1">IFERROR(__xludf.DUMMYFUNCTION("""COMPUTED_VALUE"""),"km")</f>
        <v>km</v>
      </c>
      <c r="B482" t="str">
        <f ca="1">IFERROR(__xludf.DUMMYFUNCTION("""COMPUTED_VALUE"""),"Model S 85")</f>
        <v>Model S 85</v>
      </c>
      <c r="C482">
        <f ca="1">IFERROR(__xludf.DUMMYFUNCTION("""COMPUTED_VALUE"""),384)</f>
        <v>384</v>
      </c>
      <c r="D482">
        <f ca="1">IFERROR(__xludf.DUMMYFUNCTION("""COMPUTED_VALUE"""),76500)</f>
        <v>76500</v>
      </c>
      <c r="E482">
        <f ca="1">IFERROR(__xludf.DUMMYFUNCTION("""COMPUTED_VALUE"""),372)</f>
        <v>372</v>
      </c>
      <c r="F482">
        <v>395</v>
      </c>
      <c r="G482">
        <v>0.9417721518987342</v>
      </c>
      <c r="H482">
        <v>47535</v>
      </c>
      <c r="I482">
        <v>76500</v>
      </c>
      <c r="J482">
        <v>47535</v>
      </c>
      <c r="K482">
        <v>0.95296579410322668</v>
      </c>
      <c r="L482">
        <f t="shared" ca="1" si="56"/>
        <v>231.150012</v>
      </c>
      <c r="M482">
        <f t="shared" si="57"/>
        <v>245.44154499999999</v>
      </c>
      <c r="N482">
        <v>47535</v>
      </c>
      <c r="O482">
        <f t="shared" ca="1" si="54"/>
        <v>0.9417721518987342</v>
      </c>
    </row>
    <row r="483" spans="1:15" x14ac:dyDescent="0.2">
      <c r="A483" t="str">
        <f ca="1">IFERROR(__xludf.DUMMYFUNCTION("""COMPUTED_VALUE"""),"km")</f>
        <v>km</v>
      </c>
      <c r="B483" t="str">
        <f ca="1">IFERROR(__xludf.DUMMYFUNCTION("""COMPUTED_VALUE"""),"Model S P85")</f>
        <v>Model S P85</v>
      </c>
      <c r="C483">
        <f ca="1">IFERROR(__xludf.DUMMYFUNCTION("""COMPUTED_VALUE"""),392)</f>
        <v>392</v>
      </c>
      <c r="D483">
        <f ca="1">IFERROR(__xludf.DUMMYFUNCTION("""COMPUTED_VALUE"""),156115)</f>
        <v>156115</v>
      </c>
      <c r="E483">
        <f ca="1">IFERROR(__xludf.DUMMYFUNCTION("""COMPUTED_VALUE"""),372)</f>
        <v>372</v>
      </c>
      <c r="F483">
        <v>395</v>
      </c>
      <c r="G483">
        <v>0.9417721518987342</v>
      </c>
      <c r="H483">
        <v>97005</v>
      </c>
      <c r="I483">
        <v>156115</v>
      </c>
      <c r="J483">
        <v>97005</v>
      </c>
      <c r="K483">
        <v>0.9161688488500338</v>
      </c>
      <c r="L483">
        <f t="shared" ca="1" si="56"/>
        <v>231.150012</v>
      </c>
      <c r="M483">
        <f t="shared" si="57"/>
        <v>245.44154499999999</v>
      </c>
      <c r="N483">
        <v>97005</v>
      </c>
      <c r="O483">
        <f t="shared" ca="1" si="54"/>
        <v>0.9417721518987342</v>
      </c>
    </row>
    <row r="484" spans="1:15" x14ac:dyDescent="0.2">
      <c r="A484" t="str">
        <f ca="1">IFERROR(__xludf.DUMMYFUNCTION("""COMPUTED_VALUE"""),"km")</f>
        <v>km</v>
      </c>
      <c r="B484" t="str">
        <f ca="1">IFERROR(__xludf.DUMMYFUNCTION("""COMPUTED_VALUE"""),"Model S 85")</f>
        <v>Model S 85</v>
      </c>
      <c r="D484">
        <f ca="1">IFERROR(__xludf.DUMMYFUNCTION("""COMPUTED_VALUE"""),126800)</f>
        <v>126800</v>
      </c>
      <c r="E484">
        <f ca="1">IFERROR(__xludf.DUMMYFUNCTION("""COMPUTED_VALUE"""),372)</f>
        <v>372</v>
      </c>
      <c r="F484">
        <v>395</v>
      </c>
      <c r="G484">
        <v>0.9417721518987342</v>
      </c>
      <c r="H484">
        <v>78790</v>
      </c>
      <c r="I484">
        <v>126800</v>
      </c>
      <c r="J484">
        <v>78790</v>
      </c>
      <c r="K484">
        <v>0.92820596714636694</v>
      </c>
      <c r="L484">
        <f t="shared" ca="1" si="56"/>
        <v>231.150012</v>
      </c>
      <c r="M484">
        <f t="shared" si="57"/>
        <v>245.44154499999999</v>
      </c>
      <c r="N484">
        <v>78790</v>
      </c>
      <c r="O484">
        <f t="shared" ca="1" si="54"/>
        <v>0.9417721518987342</v>
      </c>
    </row>
    <row r="485" spans="1:15" x14ac:dyDescent="0.2">
      <c r="A485" t="str">
        <f ca="1">IFERROR(__xludf.DUMMYFUNCTION("""COMPUTED_VALUE"""),"km")</f>
        <v>km</v>
      </c>
      <c r="B485" t="str">
        <f ca="1">IFERROR(__xludf.DUMMYFUNCTION("""COMPUTED_VALUE"""),"Model S 85")</f>
        <v>Model S 85</v>
      </c>
      <c r="C485">
        <f ca="1">IFERROR(__xludf.DUMMYFUNCTION("""COMPUTED_VALUE"""),407)</f>
        <v>407</v>
      </c>
      <c r="D485">
        <f ca="1">IFERROR(__xludf.DUMMYFUNCTION("""COMPUTED_VALUE"""),36500)</f>
        <v>36500</v>
      </c>
      <c r="E485">
        <f ca="1">IFERROR(__xludf.DUMMYFUNCTION("""COMPUTED_VALUE"""),372)</f>
        <v>372</v>
      </c>
      <c r="F485">
        <v>395</v>
      </c>
      <c r="G485">
        <v>0.9417721518987342</v>
      </c>
      <c r="H485">
        <v>22680</v>
      </c>
      <c r="I485">
        <v>36500</v>
      </c>
      <c r="J485">
        <v>22680</v>
      </c>
      <c r="K485">
        <v>0.97619519736721272</v>
      </c>
      <c r="L485">
        <f t="shared" ca="1" si="56"/>
        <v>231.150012</v>
      </c>
      <c r="M485">
        <f t="shared" si="57"/>
        <v>245.44154499999999</v>
      </c>
      <c r="N485">
        <v>22680</v>
      </c>
      <c r="O485">
        <f t="shared" ca="1" si="54"/>
        <v>0.9417721518987342</v>
      </c>
    </row>
    <row r="486" spans="1:15" x14ac:dyDescent="0.2">
      <c r="A486" t="str">
        <f ca="1">IFERROR(__xludf.DUMMYFUNCTION("""COMPUTED_VALUE"""),"km")</f>
        <v>km</v>
      </c>
      <c r="B486" t="str">
        <f ca="1">IFERROR(__xludf.DUMMYFUNCTION("""COMPUTED_VALUE"""),"Model S 85")</f>
        <v>Model S 85</v>
      </c>
      <c r="D486">
        <f ca="1">IFERROR(__xludf.DUMMYFUNCTION("""COMPUTED_VALUE"""),54000)</f>
        <v>54000</v>
      </c>
      <c r="E486">
        <f ca="1">IFERROR(__xludf.DUMMYFUNCTION("""COMPUTED_VALUE"""),372)</f>
        <v>372</v>
      </c>
      <c r="F486">
        <v>395</v>
      </c>
      <c r="G486">
        <v>0.9417721518987342</v>
      </c>
      <c r="H486">
        <v>33554</v>
      </c>
      <c r="I486">
        <v>54000</v>
      </c>
      <c r="J486">
        <v>33554</v>
      </c>
      <c r="K486">
        <v>0.96565701932832937</v>
      </c>
      <c r="L486">
        <f t="shared" ca="1" si="56"/>
        <v>231.150012</v>
      </c>
      <c r="M486">
        <f t="shared" si="57"/>
        <v>245.44154499999999</v>
      </c>
      <c r="N486">
        <v>33554</v>
      </c>
      <c r="O486">
        <f t="shared" ca="1" si="54"/>
        <v>0.9417721518987342</v>
      </c>
    </row>
    <row r="487" spans="1:15" x14ac:dyDescent="0.2">
      <c r="A487" t="str">
        <f ca="1">IFERROR(__xludf.DUMMYFUNCTION("""COMPUTED_VALUE"""),"km")</f>
        <v>km</v>
      </c>
      <c r="B487" t="str">
        <f ca="1">IFERROR(__xludf.DUMMYFUNCTION("""COMPUTED_VALUE"""),"Model S 85")</f>
        <v>Model S 85</v>
      </c>
      <c r="D487">
        <f ca="1">IFERROR(__xludf.DUMMYFUNCTION("""COMPUTED_VALUE"""),34317)</f>
        <v>34317</v>
      </c>
      <c r="E487">
        <f ca="1">IFERROR(__xludf.DUMMYFUNCTION("""COMPUTED_VALUE"""),372)</f>
        <v>372</v>
      </c>
      <c r="F487">
        <v>395</v>
      </c>
      <c r="G487">
        <v>0.9417721518987342</v>
      </c>
      <c r="H487">
        <v>21324</v>
      </c>
      <c r="I487">
        <v>34317</v>
      </c>
      <c r="J487">
        <v>21324</v>
      </c>
      <c r="K487">
        <v>0.9775500661104789</v>
      </c>
      <c r="L487">
        <f t="shared" ca="1" si="56"/>
        <v>231.150012</v>
      </c>
      <c r="M487">
        <f t="shared" si="57"/>
        <v>245.44154499999999</v>
      </c>
      <c r="N487">
        <v>21324</v>
      </c>
      <c r="O487">
        <f t="shared" ca="1" si="54"/>
        <v>0.9417721518987342</v>
      </c>
    </row>
    <row r="488" spans="1:15" x14ac:dyDescent="0.2">
      <c r="A488" t="str">
        <f ca="1">IFERROR(__xludf.DUMMYFUNCTION("""COMPUTED_VALUE"""),"km")</f>
        <v>km</v>
      </c>
      <c r="B488" t="str">
        <f ca="1">IFERROR(__xludf.DUMMYFUNCTION("""COMPUTED_VALUE"""),"Model S 85")</f>
        <v>Model S 85</v>
      </c>
      <c r="D488">
        <f ca="1">IFERROR(__xludf.DUMMYFUNCTION("""COMPUTED_VALUE"""),52483)</f>
        <v>52483</v>
      </c>
      <c r="E488">
        <f ca="1">IFERROR(__xludf.DUMMYFUNCTION("""COMPUTED_VALUE"""),372)</f>
        <v>372</v>
      </c>
      <c r="F488">
        <v>395</v>
      </c>
      <c r="G488">
        <v>0.9417721518987342</v>
      </c>
      <c r="H488">
        <v>32611</v>
      </c>
      <c r="I488">
        <v>52483</v>
      </c>
      <c r="J488">
        <v>32611</v>
      </c>
      <c r="K488">
        <v>0.96654762771145608</v>
      </c>
      <c r="L488">
        <f t="shared" ca="1" si="56"/>
        <v>231.150012</v>
      </c>
      <c r="M488">
        <f t="shared" si="57"/>
        <v>245.44154499999999</v>
      </c>
      <c r="N488">
        <v>32611</v>
      </c>
      <c r="O488">
        <f t="shared" ca="1" si="54"/>
        <v>0.9417721518987342</v>
      </c>
    </row>
    <row r="489" spans="1:15" x14ac:dyDescent="0.2">
      <c r="A489" t="str">
        <f ca="1">IFERROR(__xludf.DUMMYFUNCTION("""COMPUTED_VALUE"""),"km")</f>
        <v>km</v>
      </c>
      <c r="B489" t="str">
        <f ca="1">IFERROR(__xludf.DUMMYFUNCTION("""COMPUTED_VALUE"""),"Model S 85")</f>
        <v>Model S 85</v>
      </c>
      <c r="D489">
        <f ca="1">IFERROR(__xludf.DUMMYFUNCTION("""COMPUTED_VALUE"""),31300)</f>
        <v>31300</v>
      </c>
      <c r="E489">
        <f ca="1">IFERROR(__xludf.DUMMYFUNCTION("""COMPUTED_VALUE"""),372)</f>
        <v>372</v>
      </c>
      <c r="F489">
        <v>395</v>
      </c>
      <c r="G489">
        <v>0.9417721518987342</v>
      </c>
      <c r="H489">
        <v>19449</v>
      </c>
      <c r="I489">
        <v>31300</v>
      </c>
      <c r="J489">
        <v>19449</v>
      </c>
      <c r="K489">
        <v>0.97943714356925926</v>
      </c>
      <c r="L489">
        <f t="shared" ca="1" si="56"/>
        <v>231.150012</v>
      </c>
      <c r="M489">
        <f t="shared" si="57"/>
        <v>245.44154499999999</v>
      </c>
      <c r="N489">
        <v>19449</v>
      </c>
      <c r="O489">
        <f t="shared" ca="1" si="54"/>
        <v>0.9417721518987342</v>
      </c>
    </row>
    <row r="490" spans="1:15" x14ac:dyDescent="0.2">
      <c r="A490" t="str">
        <f ca="1">IFERROR(__xludf.DUMMYFUNCTION("""COMPUTED_VALUE"""),"km")</f>
        <v>km</v>
      </c>
      <c r="B490" t="str">
        <f ca="1">IFERROR(__xludf.DUMMYFUNCTION("""COMPUTED_VALUE"""),"Model S 85")</f>
        <v>Model S 85</v>
      </c>
      <c r="D490">
        <f ca="1">IFERROR(__xludf.DUMMYFUNCTION("""COMPUTED_VALUE"""),40592)</f>
        <v>40592</v>
      </c>
      <c r="E490">
        <f ca="1">IFERROR(__xludf.DUMMYFUNCTION("""COMPUTED_VALUE"""),372)</f>
        <v>372</v>
      </c>
      <c r="F490">
        <v>395</v>
      </c>
      <c r="G490">
        <v>0.9417721518987342</v>
      </c>
      <c r="H490">
        <v>25223</v>
      </c>
      <c r="I490">
        <v>40592</v>
      </c>
      <c r="J490">
        <v>25223</v>
      </c>
      <c r="K490">
        <v>0.97367948121615422</v>
      </c>
      <c r="L490">
        <f t="shared" ca="1" si="56"/>
        <v>231.150012</v>
      </c>
      <c r="M490">
        <f t="shared" si="57"/>
        <v>245.44154499999999</v>
      </c>
      <c r="N490">
        <v>25223</v>
      </c>
      <c r="O490">
        <f t="shared" ca="1" si="54"/>
        <v>0.9417721518987342</v>
      </c>
    </row>
    <row r="491" spans="1:15" x14ac:dyDescent="0.2">
      <c r="A491" t="str">
        <f ca="1">IFERROR(__xludf.DUMMYFUNCTION("""COMPUTED_VALUE"""),"km")</f>
        <v>km</v>
      </c>
      <c r="B491" t="str">
        <f ca="1">IFERROR(__xludf.DUMMYFUNCTION("""COMPUTED_VALUE"""),"Model S P85")</f>
        <v>Model S P85</v>
      </c>
      <c r="C491">
        <f ca="1">IFERROR(__xludf.DUMMYFUNCTION("""COMPUTED_VALUE"""),382)</f>
        <v>382</v>
      </c>
      <c r="D491">
        <f ca="1">IFERROR(__xludf.DUMMYFUNCTION("""COMPUTED_VALUE"""),58000)</f>
        <v>58000</v>
      </c>
      <c r="E491">
        <f ca="1">IFERROR(__xludf.DUMMYFUNCTION("""COMPUTED_VALUE"""),372)</f>
        <v>372</v>
      </c>
      <c r="F491">
        <v>395</v>
      </c>
      <c r="G491">
        <v>0.9417721518987342</v>
      </c>
      <c r="H491">
        <v>36040</v>
      </c>
      <c r="I491">
        <v>58000</v>
      </c>
      <c r="J491">
        <v>36040</v>
      </c>
      <c r="K491">
        <v>0.96332969200394658</v>
      </c>
      <c r="L491">
        <f t="shared" ca="1" si="56"/>
        <v>231.150012</v>
      </c>
      <c r="M491">
        <f t="shared" si="57"/>
        <v>245.44154499999999</v>
      </c>
      <c r="N491">
        <v>36040</v>
      </c>
      <c r="O491">
        <f t="shared" ca="1" si="54"/>
        <v>0.9417721518987342</v>
      </c>
    </row>
    <row r="492" spans="1:15" x14ac:dyDescent="0.2">
      <c r="A492" t="str">
        <f ca="1">IFERROR(__xludf.DUMMYFUNCTION("""COMPUTED_VALUE"""),"km")</f>
        <v>km</v>
      </c>
      <c r="B492" t="str">
        <f ca="1">IFERROR(__xludf.DUMMYFUNCTION("""COMPUTED_VALUE"""),"Model S 85")</f>
        <v>Model S 85</v>
      </c>
      <c r="D492">
        <f ca="1">IFERROR(__xludf.DUMMYFUNCTION("""COMPUTED_VALUE"""),99478)</f>
        <v>99478</v>
      </c>
      <c r="E492">
        <f ca="1">IFERROR(__xludf.DUMMYFUNCTION("""COMPUTED_VALUE"""),372)</f>
        <v>372</v>
      </c>
      <c r="F492">
        <v>395</v>
      </c>
      <c r="G492">
        <v>0.9417721518987342</v>
      </c>
      <c r="H492">
        <v>61813</v>
      </c>
      <c r="I492">
        <v>99478</v>
      </c>
      <c r="J492">
        <v>61813</v>
      </c>
      <c r="K492">
        <v>0.94102505398749625</v>
      </c>
      <c r="L492">
        <f t="shared" ca="1" si="56"/>
        <v>231.150012</v>
      </c>
      <c r="M492">
        <f t="shared" si="57"/>
        <v>245.44154499999999</v>
      </c>
      <c r="N492">
        <v>61813</v>
      </c>
      <c r="O492">
        <f t="shared" ca="1" si="54"/>
        <v>0.9417721518987342</v>
      </c>
    </row>
    <row r="493" spans="1:15" x14ac:dyDescent="0.2">
      <c r="A493" t="str">
        <f ca="1">IFERROR(__xludf.DUMMYFUNCTION("""COMPUTED_VALUE"""),"km")</f>
        <v>km</v>
      </c>
      <c r="B493" t="str">
        <f ca="1">IFERROR(__xludf.DUMMYFUNCTION("""COMPUTED_VALUE"""),"Model S 85")</f>
        <v>Model S 85</v>
      </c>
      <c r="D493">
        <f ca="1">IFERROR(__xludf.DUMMYFUNCTION("""COMPUTED_VALUE"""),59000)</f>
        <v>59000</v>
      </c>
      <c r="E493">
        <f ca="1">IFERROR(__xludf.DUMMYFUNCTION("""COMPUTED_VALUE"""),372)</f>
        <v>372</v>
      </c>
      <c r="F493">
        <v>395</v>
      </c>
      <c r="G493">
        <v>0.9417721518987342</v>
      </c>
      <c r="H493">
        <v>36661</v>
      </c>
      <c r="I493">
        <v>59000</v>
      </c>
      <c r="J493">
        <v>36661</v>
      </c>
      <c r="K493">
        <v>0.96275263308364445</v>
      </c>
      <c r="L493">
        <f t="shared" ca="1" si="56"/>
        <v>231.150012</v>
      </c>
      <c r="M493">
        <f t="shared" si="57"/>
        <v>245.44154499999999</v>
      </c>
      <c r="N493">
        <v>36661</v>
      </c>
      <c r="O493">
        <f t="shared" ca="1" si="54"/>
        <v>0.9417721518987342</v>
      </c>
    </row>
    <row r="494" spans="1:15" x14ac:dyDescent="0.2">
      <c r="A494" t="str">
        <f ca="1">IFERROR(__xludf.DUMMYFUNCTION("""COMPUTED_VALUE"""),"km")</f>
        <v>km</v>
      </c>
      <c r="B494" t="str">
        <f ca="1">IFERROR(__xludf.DUMMYFUNCTION("""COMPUTED_VALUE"""),"Model S P85")</f>
        <v>Model S P85</v>
      </c>
      <c r="C494">
        <f ca="1">IFERROR(__xludf.DUMMYFUNCTION("""COMPUTED_VALUE"""),400)</f>
        <v>400</v>
      </c>
      <c r="D494">
        <f ca="1">IFERROR(__xludf.DUMMYFUNCTION("""COMPUTED_VALUE"""),120000)</f>
        <v>120000</v>
      </c>
      <c r="E494">
        <f ca="1">IFERROR(__xludf.DUMMYFUNCTION("""COMPUTED_VALUE"""),372)</f>
        <v>372</v>
      </c>
      <c r="F494">
        <v>395</v>
      </c>
      <c r="G494">
        <v>0.9417721518987342</v>
      </c>
      <c r="H494">
        <v>74565</v>
      </c>
      <c r="I494">
        <v>120000</v>
      </c>
      <c r="J494">
        <v>74565</v>
      </c>
      <c r="K494">
        <v>0.93125407819227712</v>
      </c>
      <c r="L494">
        <f t="shared" ca="1" si="56"/>
        <v>231.150012</v>
      </c>
      <c r="M494">
        <f t="shared" si="57"/>
        <v>245.44154499999999</v>
      </c>
      <c r="N494">
        <v>74565</v>
      </c>
      <c r="O494">
        <f t="shared" ca="1" si="54"/>
        <v>0.9417721518987342</v>
      </c>
    </row>
    <row r="495" spans="1:15" x14ac:dyDescent="0.2">
      <c r="A495" t="str">
        <f ca="1">IFERROR(__xludf.DUMMYFUNCTION("""COMPUTED_VALUE"""),"km")</f>
        <v>km</v>
      </c>
      <c r="B495" t="str">
        <f ca="1">IFERROR(__xludf.DUMMYFUNCTION("""COMPUTED_VALUE"""),"Model S P85")</f>
        <v>Model S P85</v>
      </c>
      <c r="C495">
        <f ca="1">IFERROR(__xludf.DUMMYFUNCTION("""COMPUTED_VALUE"""),400)</f>
        <v>400</v>
      </c>
      <c r="D495">
        <f ca="1">IFERROR(__xludf.DUMMYFUNCTION("""COMPUTED_VALUE"""),111000)</f>
        <v>111000</v>
      </c>
      <c r="E495">
        <f ca="1">IFERROR(__xludf.DUMMYFUNCTION("""COMPUTED_VALUE"""),372)</f>
        <v>372</v>
      </c>
      <c r="F495">
        <v>395</v>
      </c>
      <c r="G495">
        <v>0.9417721518987342</v>
      </c>
      <c r="H495">
        <v>68972</v>
      </c>
      <c r="I495">
        <v>111000</v>
      </c>
      <c r="J495">
        <v>68972</v>
      </c>
      <c r="K495">
        <v>0.93543402861308667</v>
      </c>
      <c r="L495">
        <f t="shared" ca="1" si="56"/>
        <v>231.150012</v>
      </c>
      <c r="M495">
        <f t="shared" si="57"/>
        <v>245.44154499999999</v>
      </c>
      <c r="N495">
        <v>68972</v>
      </c>
      <c r="O495">
        <f t="shared" ca="1" si="54"/>
        <v>0.9417721518987342</v>
      </c>
    </row>
    <row r="496" spans="1:15" x14ac:dyDescent="0.2">
      <c r="A496" t="str">
        <f ca="1">IFERROR(__xludf.DUMMYFUNCTION("""COMPUTED_VALUE"""),"km")</f>
        <v>km</v>
      </c>
      <c r="B496" t="str">
        <f ca="1">IFERROR(__xludf.DUMMYFUNCTION("""COMPUTED_VALUE"""),"Model S P85")</f>
        <v>Model S P85</v>
      </c>
      <c r="D496">
        <f ca="1">IFERROR(__xludf.DUMMYFUNCTION("""COMPUTED_VALUE"""),78527)</f>
        <v>78527</v>
      </c>
      <c r="E496">
        <f ca="1">IFERROR(__xludf.DUMMYFUNCTION("""COMPUTED_VALUE"""),372)</f>
        <v>372</v>
      </c>
      <c r="F496">
        <v>395</v>
      </c>
      <c r="G496">
        <v>0.9417721518987342</v>
      </c>
      <c r="H496">
        <v>48794</v>
      </c>
      <c r="I496">
        <v>78527</v>
      </c>
      <c r="J496">
        <v>48794</v>
      </c>
      <c r="K496">
        <v>0.9518706027837105</v>
      </c>
      <c r="L496">
        <f t="shared" ca="1" si="56"/>
        <v>231.150012</v>
      </c>
      <c r="M496">
        <f t="shared" si="57"/>
        <v>245.44154499999999</v>
      </c>
      <c r="N496">
        <v>48794</v>
      </c>
      <c r="O496">
        <f t="shared" ca="1" si="54"/>
        <v>0.9417721518987342</v>
      </c>
    </row>
    <row r="497" spans="1:15" x14ac:dyDescent="0.2">
      <c r="A497" t="str">
        <f ca="1">IFERROR(__xludf.DUMMYFUNCTION("""COMPUTED_VALUE"""),"km")</f>
        <v>km</v>
      </c>
      <c r="B497" t="str">
        <f ca="1">IFERROR(__xludf.DUMMYFUNCTION("""COMPUTED_VALUE"""),"Model S 85")</f>
        <v>Model S 85</v>
      </c>
      <c r="C497">
        <f ca="1">IFERROR(__xludf.DUMMYFUNCTION("""COMPUTED_VALUE"""),399)</f>
        <v>399</v>
      </c>
      <c r="D497">
        <f ca="1">IFERROR(__xludf.DUMMYFUNCTION("""COMPUTED_VALUE"""),132950)</f>
        <v>132950</v>
      </c>
      <c r="E497">
        <f ca="1">IFERROR(__xludf.DUMMYFUNCTION("""COMPUTED_VALUE"""),372)</f>
        <v>372</v>
      </c>
      <c r="F497">
        <v>395</v>
      </c>
      <c r="G497">
        <v>0.9417721518987342</v>
      </c>
      <c r="H497">
        <v>82611</v>
      </c>
      <c r="I497">
        <v>132950</v>
      </c>
      <c r="J497">
        <v>82611</v>
      </c>
      <c r="K497">
        <v>0.92553149489634257</v>
      </c>
      <c r="L497">
        <f t="shared" ca="1" si="56"/>
        <v>231.150012</v>
      </c>
      <c r="M497">
        <f t="shared" si="57"/>
        <v>245.44154499999999</v>
      </c>
      <c r="N497">
        <v>82611</v>
      </c>
      <c r="O497">
        <f t="shared" ca="1" si="54"/>
        <v>0.9417721518987342</v>
      </c>
    </row>
    <row r="498" spans="1:15" x14ac:dyDescent="0.2">
      <c r="A498" t="str">
        <f ca="1">IFERROR(__xludf.DUMMYFUNCTION("""COMPUTED_VALUE"""),"km")</f>
        <v>km</v>
      </c>
      <c r="B498" t="str">
        <f ca="1">IFERROR(__xludf.DUMMYFUNCTION("""COMPUTED_VALUE"""),"Model 3 P")</f>
        <v>Model 3 P</v>
      </c>
      <c r="C498">
        <f ca="1">IFERROR(__xludf.DUMMYFUNCTION("""COMPUTED_VALUE"""),502)</f>
        <v>502</v>
      </c>
      <c r="D498">
        <f ca="1">IFERROR(__xludf.DUMMYFUNCTION("""COMPUTED_VALUE"""),29806)</f>
        <v>29806</v>
      </c>
      <c r="E498">
        <f ca="1">IFERROR(__xludf.DUMMYFUNCTION("""COMPUTED_VALUE"""),470)</f>
        <v>470</v>
      </c>
      <c r="F498">
        <v>499</v>
      </c>
      <c r="G498">
        <v>0.94188376753507019</v>
      </c>
      <c r="H498">
        <v>18521</v>
      </c>
      <c r="I498">
        <v>29806</v>
      </c>
      <c r="J498">
        <v>18521</v>
      </c>
      <c r="K498">
        <v>0.98037786476255728</v>
      </c>
      <c r="L498">
        <f t="shared" ca="1" si="56"/>
        <v>292.04437000000001</v>
      </c>
      <c r="M498">
        <f t="shared" si="57"/>
        <v>310.06412899999998</v>
      </c>
      <c r="N498">
        <v>18521</v>
      </c>
      <c r="O498">
        <f t="shared" ca="1" si="54"/>
        <v>0.9418837675350703</v>
      </c>
    </row>
    <row r="499" spans="1:15" x14ac:dyDescent="0.2">
      <c r="A499" t="str">
        <f ca="1">IFERROR(__xludf.DUMMYFUNCTION("""COMPUTED_VALUE"""),"km")</f>
        <v>km</v>
      </c>
      <c r="B499" t="str">
        <f ca="1">IFERROR(__xludf.DUMMYFUNCTION("""COMPUTED_VALUE"""),"Model 3 LR AWD")</f>
        <v>Model 3 LR AWD</v>
      </c>
      <c r="C499">
        <f ca="1">IFERROR(__xludf.DUMMYFUNCTION("""COMPUTED_VALUE"""),497)</f>
        <v>497</v>
      </c>
      <c r="D499">
        <f ca="1">IFERROR(__xludf.DUMMYFUNCTION("""COMPUTED_VALUE"""),51016)</f>
        <v>51016</v>
      </c>
      <c r="E499">
        <f ca="1">IFERROR(__xludf.DUMMYFUNCTION("""COMPUTED_VALUE"""),470)</f>
        <v>470</v>
      </c>
      <c r="F499">
        <v>499</v>
      </c>
      <c r="G499">
        <v>0.94188376753507019</v>
      </c>
      <c r="H499">
        <v>31700</v>
      </c>
      <c r="I499">
        <v>51016</v>
      </c>
      <c r="J499">
        <v>31700</v>
      </c>
      <c r="K499">
        <v>0.96741303924201372</v>
      </c>
      <c r="L499">
        <f t="shared" ca="1" si="56"/>
        <v>292.04437000000001</v>
      </c>
      <c r="M499">
        <f t="shared" si="57"/>
        <v>310.06412899999998</v>
      </c>
      <c r="N499">
        <v>31700</v>
      </c>
      <c r="O499">
        <f t="shared" ca="1" si="54"/>
        <v>0.9418837675350703</v>
      </c>
    </row>
    <row r="500" spans="1:15" x14ac:dyDescent="0.2">
      <c r="A500" t="str">
        <f ca="1">IFERROR(__xludf.DUMMYFUNCTION("""COMPUTED_VALUE"""),"km")</f>
        <v>km</v>
      </c>
      <c r="B500" t="str">
        <f ca="1">IFERROR(__xludf.DUMMYFUNCTION("""COMPUTED_VALUE"""),"Model 3 P")</f>
        <v>Model 3 P</v>
      </c>
      <c r="C500">
        <f ca="1">IFERROR(__xludf.DUMMYFUNCTION("""COMPUTED_VALUE"""),499)</f>
        <v>499</v>
      </c>
      <c r="D500">
        <f ca="1">IFERROR(__xludf.DUMMYFUNCTION("""COMPUTED_VALUE"""),6984)</f>
        <v>6984</v>
      </c>
      <c r="E500">
        <f ca="1">IFERROR(__xludf.DUMMYFUNCTION("""COMPUTED_VALUE"""),470)</f>
        <v>470</v>
      </c>
      <c r="F500">
        <v>499</v>
      </c>
      <c r="G500">
        <v>0.94188376753507019</v>
      </c>
      <c r="H500">
        <v>4340</v>
      </c>
      <c r="I500">
        <v>6984</v>
      </c>
      <c r="J500">
        <v>4340</v>
      </c>
      <c r="K500">
        <v>0.99525761613939345</v>
      </c>
      <c r="L500">
        <f t="shared" ca="1" si="56"/>
        <v>292.04437000000001</v>
      </c>
      <c r="M500">
        <f t="shared" si="57"/>
        <v>310.06412899999998</v>
      </c>
      <c r="N500">
        <v>4340</v>
      </c>
      <c r="O500">
        <f t="shared" ca="1" si="54"/>
        <v>0.9418837675350703</v>
      </c>
    </row>
    <row r="501" spans="1:15" x14ac:dyDescent="0.2">
      <c r="A501" t="str">
        <f ca="1">IFERROR(__xludf.DUMMYFUNCTION("""COMPUTED_VALUE"""),"mi")</f>
        <v>mi</v>
      </c>
      <c r="B501" t="str">
        <f ca="1">IFERROR(__xludf.DUMMYFUNCTION("""COMPUTED_VALUE"""),"Model 3 LR AWD")</f>
        <v>Model 3 LR AWD</v>
      </c>
      <c r="C501">
        <f ca="1">IFERROR(__xludf.DUMMYFUNCTION("""COMPUTED_VALUE"""),309)</f>
        <v>309</v>
      </c>
      <c r="D501">
        <f ca="1">IFERROR(__xludf.DUMMYFUNCTION("""COMPUTED_VALUE"""),11825)</f>
        <v>11825</v>
      </c>
      <c r="E501">
        <f ca="1">IFERROR(__xludf.DUMMYFUNCTION("""COMPUTED_VALUE"""),292)</f>
        <v>292</v>
      </c>
      <c r="F501">
        <v>310</v>
      </c>
      <c r="G501">
        <v>0.9419354838709677</v>
      </c>
      <c r="H501">
        <v>11825</v>
      </c>
      <c r="I501">
        <v>19030</v>
      </c>
      <c r="J501">
        <v>11825</v>
      </c>
      <c r="K501">
        <v>0.9872850973277717</v>
      </c>
      <c r="L501">
        <f ca="1">IFERROR(__xludf.DUMMYFUNCTION("""COMPUTED_VALUE"""),292)</f>
        <v>292</v>
      </c>
      <c r="M501">
        <v>310</v>
      </c>
      <c r="N501">
        <v>11825</v>
      </c>
      <c r="O501">
        <f t="shared" ca="1" si="54"/>
        <v>0.9419354838709677</v>
      </c>
    </row>
    <row r="502" spans="1:15" x14ac:dyDescent="0.2">
      <c r="A502" t="str">
        <f ca="1">IFERROR(__xludf.DUMMYFUNCTION("""COMPUTED_VALUE"""),"km")</f>
        <v>km</v>
      </c>
      <c r="B502" t="str">
        <f ca="1">IFERROR(__xludf.DUMMYFUNCTION("""COMPUTED_VALUE"""),"Model X 100D")</f>
        <v>Model X 100D</v>
      </c>
      <c r="D502">
        <f ca="1">IFERROR(__xludf.DUMMYFUNCTION("""COMPUTED_VALUE"""),91900)</f>
        <v>91900</v>
      </c>
      <c r="E502">
        <f ca="1">IFERROR(__xludf.DUMMYFUNCTION("""COMPUTED_VALUE"""),422)</f>
        <v>422</v>
      </c>
      <c r="F502">
        <v>448</v>
      </c>
      <c r="G502">
        <v>0.9419642857142857</v>
      </c>
      <c r="H502">
        <v>57104</v>
      </c>
      <c r="I502">
        <v>91900</v>
      </c>
      <c r="J502">
        <v>57104</v>
      </c>
      <c r="K502">
        <v>0.94484747246984258</v>
      </c>
      <c r="L502">
        <f ca="1">E502*0.621371</f>
        <v>262.21856200000002</v>
      </c>
      <c r="M502">
        <f>F502*0.621371</f>
        <v>278.37420800000001</v>
      </c>
      <c r="N502">
        <v>57104</v>
      </c>
      <c r="O502">
        <f t="shared" ca="1" si="54"/>
        <v>0.9419642857142857</v>
      </c>
    </row>
    <row r="503" spans="1:15" x14ac:dyDescent="0.2">
      <c r="A503" t="str">
        <f ca="1">IFERROR(__xludf.DUMMYFUNCTION("""COMPUTED_VALUE"""),"km")</f>
        <v>km</v>
      </c>
      <c r="B503" t="str">
        <f ca="1">IFERROR(__xludf.DUMMYFUNCTION("""COMPUTED_VALUE"""),"Model S P100D")</f>
        <v>Model S P100D</v>
      </c>
      <c r="D503">
        <f ca="1">IFERROR(__xludf.DUMMYFUNCTION("""COMPUTED_VALUE"""),50984)</f>
        <v>50984</v>
      </c>
      <c r="E503">
        <f ca="1">IFERROR(__xludf.DUMMYFUNCTION("""COMPUTED_VALUE"""),455)</f>
        <v>455</v>
      </c>
      <c r="F503">
        <v>483</v>
      </c>
      <c r="G503">
        <v>0.94202898550724634</v>
      </c>
      <c r="H503">
        <v>31680</v>
      </c>
      <c r="I503">
        <v>50984</v>
      </c>
      <c r="J503">
        <v>31680</v>
      </c>
      <c r="K503">
        <v>0.96743196216185345</v>
      </c>
      <c r="L503">
        <f ca="1">E503*0.621371</f>
        <v>282.72380500000003</v>
      </c>
      <c r="M503">
        <f>F503*0.621371</f>
        <v>300.12219299999998</v>
      </c>
      <c r="N503">
        <v>31680</v>
      </c>
      <c r="O503">
        <f t="shared" ca="1" si="54"/>
        <v>0.94202898550724656</v>
      </c>
    </row>
    <row r="504" spans="1:15" x14ac:dyDescent="0.2">
      <c r="A504" t="str">
        <f ca="1">IFERROR(__xludf.DUMMYFUNCTION("""COMPUTED_VALUE"""),"mi")</f>
        <v>mi</v>
      </c>
      <c r="B504" t="str">
        <f ca="1">IFERROR(__xludf.DUMMYFUNCTION("""COMPUTED_VALUE"""),"Model S 75D")</f>
        <v>Model S 75D</v>
      </c>
      <c r="D504">
        <f ca="1">IFERROR(__xludf.DUMMYFUNCTION("""COMPUTED_VALUE"""),17351)</f>
        <v>17351</v>
      </c>
      <c r="E504">
        <f ca="1">IFERROR(__xludf.DUMMYFUNCTION("""COMPUTED_VALUE"""),244)</f>
        <v>244</v>
      </c>
      <c r="F504">
        <v>259</v>
      </c>
      <c r="G504">
        <v>0.94208494208494209</v>
      </c>
      <c r="H504">
        <v>17351</v>
      </c>
      <c r="I504">
        <v>27924</v>
      </c>
      <c r="J504">
        <v>17351</v>
      </c>
      <c r="K504">
        <v>0.98156877621783811</v>
      </c>
      <c r="L504">
        <f ca="1">IFERROR(__xludf.DUMMYFUNCTION("""COMPUTED_VALUE"""),244)</f>
        <v>244</v>
      </c>
      <c r="M504">
        <v>259</v>
      </c>
      <c r="N504">
        <v>17351</v>
      </c>
      <c r="O504">
        <f t="shared" ca="1" si="54"/>
        <v>0.94208494208494209</v>
      </c>
    </row>
    <row r="505" spans="1:15" x14ac:dyDescent="0.2">
      <c r="A505" t="str">
        <f ca="1">IFERROR(__xludf.DUMMYFUNCTION("""COMPUTED_VALUE"""),"km")</f>
        <v>km</v>
      </c>
      <c r="B505" t="str">
        <f ca="1">IFERROR(__xludf.DUMMYFUNCTION("""COMPUTED_VALUE"""),"Model S 75D")</f>
        <v>Model S 75D</v>
      </c>
      <c r="C505">
        <f ca="1">IFERROR(__xludf.DUMMYFUNCTION("""COMPUTED_VALUE"""),385)</f>
        <v>385</v>
      </c>
      <c r="D505">
        <f ca="1">IFERROR(__xludf.DUMMYFUNCTION("""COMPUTED_VALUE"""),112500)</f>
        <v>112500</v>
      </c>
      <c r="E505">
        <f ca="1">IFERROR(__xludf.DUMMYFUNCTION("""COMPUTED_VALUE"""),362)</f>
        <v>362</v>
      </c>
      <c r="F505">
        <v>384</v>
      </c>
      <c r="G505">
        <v>0.94270833333333337</v>
      </c>
      <c r="H505">
        <v>69904</v>
      </c>
      <c r="I505">
        <v>112500</v>
      </c>
      <c r="J505">
        <v>69904</v>
      </c>
      <c r="K505">
        <v>0.93472590668900368</v>
      </c>
      <c r="L505">
        <f ca="1">E505*0.621371</f>
        <v>224.93630200000001</v>
      </c>
      <c r="M505">
        <f>F505*0.621371</f>
        <v>238.60646400000002</v>
      </c>
      <c r="N505">
        <v>69904</v>
      </c>
      <c r="O505">
        <f t="shared" ca="1" si="54"/>
        <v>0.94270833333333337</v>
      </c>
    </row>
    <row r="506" spans="1:15" x14ac:dyDescent="0.2">
      <c r="A506" t="str">
        <f ca="1">IFERROR(__xludf.DUMMYFUNCTION("""COMPUTED_VALUE"""),"mi")</f>
        <v>mi</v>
      </c>
      <c r="B506" t="str">
        <f ca="1">IFERROR(__xludf.DUMMYFUNCTION("""COMPUTED_VALUE"""),"Model S 85")</f>
        <v>Model S 85</v>
      </c>
      <c r="D506">
        <f ca="1">IFERROR(__xludf.DUMMYFUNCTION("""COMPUTED_VALUE"""),45959)</f>
        <v>45959</v>
      </c>
      <c r="E506">
        <f ca="1">IFERROR(__xludf.DUMMYFUNCTION("""COMPUTED_VALUE"""),231)</f>
        <v>231</v>
      </c>
      <c r="F506">
        <v>245</v>
      </c>
      <c r="G506">
        <v>0.94285714285714284</v>
      </c>
      <c r="H506">
        <v>45959</v>
      </c>
      <c r="I506">
        <v>73964</v>
      </c>
      <c r="J506">
        <v>45959</v>
      </c>
      <c r="K506">
        <v>0.95434729023574361</v>
      </c>
      <c r="L506">
        <f ca="1">IFERROR(__xludf.DUMMYFUNCTION("""COMPUTED_VALUE"""),231)</f>
        <v>231</v>
      </c>
      <c r="M506">
        <v>245</v>
      </c>
      <c r="N506">
        <v>45959</v>
      </c>
      <c r="O506">
        <f t="shared" ca="1" si="54"/>
        <v>0.94285714285714284</v>
      </c>
    </row>
    <row r="507" spans="1:15" x14ac:dyDescent="0.2">
      <c r="A507" t="str">
        <f ca="1">IFERROR(__xludf.DUMMYFUNCTION("""COMPUTED_VALUE"""),"km")</f>
        <v>km</v>
      </c>
      <c r="B507" t="str">
        <f ca="1">IFERROR(__xludf.DUMMYFUNCTION("""COMPUTED_VALUE"""),"Model S P85D")</f>
        <v>Model S P85D</v>
      </c>
      <c r="C507">
        <f ca="1">IFERROR(__xludf.DUMMYFUNCTION("""COMPUTED_VALUE"""),403)</f>
        <v>403</v>
      </c>
      <c r="D507">
        <f ca="1">IFERROR(__xludf.DUMMYFUNCTION("""COMPUTED_VALUE"""),105000)</f>
        <v>105000</v>
      </c>
      <c r="E507">
        <f ca="1">IFERROR(__xludf.DUMMYFUNCTION("""COMPUTED_VALUE"""),380)</f>
        <v>380</v>
      </c>
      <c r="F507">
        <v>403</v>
      </c>
      <c r="G507">
        <v>0.94292803970223327</v>
      </c>
      <c r="H507">
        <v>65244</v>
      </c>
      <c r="I507">
        <v>105000</v>
      </c>
      <c r="J507">
        <v>65244</v>
      </c>
      <c r="K507">
        <v>0.93831211079456955</v>
      </c>
      <c r="L507">
        <f t="shared" ref="L507:M513" ca="1" si="58">E507*0.621371</f>
        <v>236.12098</v>
      </c>
      <c r="M507">
        <f t="shared" si="58"/>
        <v>250.41251299999999</v>
      </c>
      <c r="N507">
        <v>65244</v>
      </c>
      <c r="O507">
        <f t="shared" ca="1" si="54"/>
        <v>0.94292803970223327</v>
      </c>
    </row>
    <row r="508" spans="1:15" x14ac:dyDescent="0.2">
      <c r="A508" t="str">
        <f ca="1">IFERROR(__xludf.DUMMYFUNCTION("""COMPUTED_VALUE"""),"km")</f>
        <v>km</v>
      </c>
      <c r="B508" t="str">
        <f ca="1">IFERROR(__xludf.DUMMYFUNCTION("""COMPUTED_VALUE"""),"Model S P85D")</f>
        <v>Model S P85D</v>
      </c>
      <c r="C508">
        <f ca="1">IFERROR(__xludf.DUMMYFUNCTION("""COMPUTED_VALUE"""),406)</f>
        <v>406</v>
      </c>
      <c r="D508">
        <f ca="1">IFERROR(__xludf.DUMMYFUNCTION("""COMPUTED_VALUE"""),30353)</f>
        <v>30353</v>
      </c>
      <c r="E508">
        <f ca="1">IFERROR(__xludf.DUMMYFUNCTION("""COMPUTED_VALUE"""),380)</f>
        <v>380</v>
      </c>
      <c r="F508">
        <v>403</v>
      </c>
      <c r="G508">
        <v>0.94292803970223327</v>
      </c>
      <c r="H508">
        <v>18860</v>
      </c>
      <c r="I508">
        <v>30353</v>
      </c>
      <c r="J508">
        <v>18860</v>
      </c>
      <c r="K508">
        <v>0.98003295757243591</v>
      </c>
      <c r="L508">
        <f t="shared" ca="1" si="58"/>
        <v>236.12098</v>
      </c>
      <c r="M508">
        <f t="shared" si="58"/>
        <v>250.41251299999999</v>
      </c>
      <c r="N508">
        <v>18860</v>
      </c>
      <c r="O508">
        <f t="shared" ca="1" si="54"/>
        <v>0.94292803970223327</v>
      </c>
    </row>
    <row r="509" spans="1:15" x14ac:dyDescent="0.2">
      <c r="A509" t="str">
        <f ca="1">IFERROR(__xludf.DUMMYFUNCTION("""COMPUTED_VALUE"""),"km")</f>
        <v>km</v>
      </c>
      <c r="B509" t="str">
        <f ca="1">IFERROR(__xludf.DUMMYFUNCTION("""COMPUTED_VALUE"""),"Model S 85D")</f>
        <v>Model S 85D</v>
      </c>
      <c r="C509">
        <f ca="1">IFERROR(__xludf.DUMMYFUNCTION("""COMPUTED_VALUE"""),396)</f>
        <v>396</v>
      </c>
      <c r="D509">
        <f ca="1">IFERROR(__xludf.DUMMYFUNCTION("""COMPUTED_VALUE"""),207000)</f>
        <v>207000</v>
      </c>
      <c r="E509">
        <f ca="1">IFERROR(__xludf.DUMMYFUNCTION("""COMPUTED_VALUE"""),401)</f>
        <v>401</v>
      </c>
      <c r="F509">
        <v>425</v>
      </c>
      <c r="G509">
        <v>0.94352941176470584</v>
      </c>
      <c r="H509">
        <v>128624</v>
      </c>
      <c r="I509">
        <v>207000</v>
      </c>
      <c r="J509">
        <v>128624</v>
      </c>
      <c r="K509">
        <v>0.8996709310186668</v>
      </c>
      <c r="L509">
        <f t="shared" ca="1" si="58"/>
        <v>249.169771</v>
      </c>
      <c r="M509">
        <f t="shared" si="58"/>
        <v>264.08267499999999</v>
      </c>
      <c r="N509">
        <v>128624</v>
      </c>
      <c r="O509">
        <f t="shared" ca="1" si="54"/>
        <v>0.94352941176470584</v>
      </c>
    </row>
    <row r="510" spans="1:15" x14ac:dyDescent="0.2">
      <c r="A510" t="str">
        <f ca="1">IFERROR(__xludf.DUMMYFUNCTION("""COMPUTED_VALUE"""),"km")</f>
        <v>km</v>
      </c>
      <c r="B510" t="str">
        <f ca="1">IFERROR(__xludf.DUMMYFUNCTION("""COMPUTED_VALUE"""),"Model S 85D")</f>
        <v>Model S 85D</v>
      </c>
      <c r="D510">
        <f ca="1">IFERROR(__xludf.DUMMYFUNCTION("""COMPUTED_VALUE"""),226000)</f>
        <v>226000</v>
      </c>
      <c r="E510">
        <f ca="1">IFERROR(__xludf.DUMMYFUNCTION("""COMPUTED_VALUE"""),401)</f>
        <v>401</v>
      </c>
      <c r="F510">
        <v>425</v>
      </c>
      <c r="G510">
        <v>0.94352941176470584</v>
      </c>
      <c r="H510">
        <v>140430</v>
      </c>
      <c r="I510">
        <v>226000</v>
      </c>
      <c r="J510">
        <v>140430</v>
      </c>
      <c r="K510">
        <v>0.89499577310549705</v>
      </c>
      <c r="L510">
        <f t="shared" ca="1" si="58"/>
        <v>249.169771</v>
      </c>
      <c r="M510">
        <f t="shared" si="58"/>
        <v>264.08267499999999</v>
      </c>
      <c r="N510">
        <v>140430</v>
      </c>
      <c r="O510">
        <f t="shared" ca="1" si="54"/>
        <v>0.94352941176470584</v>
      </c>
    </row>
    <row r="511" spans="1:15" x14ac:dyDescent="0.2">
      <c r="A511" t="str">
        <f ca="1">IFERROR(__xludf.DUMMYFUNCTION("""COMPUTED_VALUE"""),"km")</f>
        <v>km</v>
      </c>
      <c r="B511" t="str">
        <f ca="1">IFERROR(__xludf.DUMMYFUNCTION("""COMPUTED_VALUE"""),"Model S 85D")</f>
        <v>Model S 85D</v>
      </c>
      <c r="D511">
        <f ca="1">IFERROR(__xludf.DUMMYFUNCTION("""COMPUTED_VALUE"""),115848)</f>
        <v>115848</v>
      </c>
      <c r="E511">
        <f ca="1">IFERROR(__xludf.DUMMYFUNCTION("""COMPUTED_VALUE"""),401)</f>
        <v>401</v>
      </c>
      <c r="F511">
        <v>425</v>
      </c>
      <c r="G511">
        <v>0.94352941176470584</v>
      </c>
      <c r="H511">
        <v>71985</v>
      </c>
      <c r="I511">
        <v>115848</v>
      </c>
      <c r="J511">
        <v>71985</v>
      </c>
      <c r="K511">
        <v>0.93316189172058839</v>
      </c>
      <c r="L511">
        <f t="shared" ca="1" si="58"/>
        <v>249.169771</v>
      </c>
      <c r="M511">
        <f t="shared" si="58"/>
        <v>264.08267499999999</v>
      </c>
      <c r="N511">
        <v>71985</v>
      </c>
      <c r="O511">
        <f t="shared" ca="1" si="54"/>
        <v>0.94352941176470584</v>
      </c>
    </row>
    <row r="512" spans="1:15" x14ac:dyDescent="0.2">
      <c r="A512" t="str">
        <f ca="1">IFERROR(__xludf.DUMMYFUNCTION("""COMPUTED_VALUE"""),"km")</f>
        <v>km</v>
      </c>
      <c r="B512" t="str">
        <f ca="1">IFERROR(__xludf.DUMMYFUNCTION("""COMPUTED_VALUE"""),"Model S 85D")</f>
        <v>Model S 85D</v>
      </c>
      <c r="D512">
        <f ca="1">IFERROR(__xludf.DUMMYFUNCTION("""COMPUTED_VALUE"""),35030)</f>
        <v>35030</v>
      </c>
      <c r="E512">
        <f ca="1">IFERROR(__xludf.DUMMYFUNCTION("""COMPUTED_VALUE"""),401)</f>
        <v>401</v>
      </c>
      <c r="F512">
        <v>425</v>
      </c>
      <c r="G512">
        <v>0.94352941176470584</v>
      </c>
      <c r="H512">
        <v>21767</v>
      </c>
      <c r="I512">
        <v>35030</v>
      </c>
      <c r="J512">
        <v>21767</v>
      </c>
      <c r="K512">
        <v>0.9771065698552539</v>
      </c>
      <c r="L512">
        <f t="shared" ca="1" si="58"/>
        <v>249.169771</v>
      </c>
      <c r="M512">
        <f t="shared" si="58"/>
        <v>264.08267499999999</v>
      </c>
      <c r="N512">
        <v>21767</v>
      </c>
      <c r="O512">
        <f t="shared" ca="1" si="54"/>
        <v>0.94352941176470584</v>
      </c>
    </row>
    <row r="513" spans="1:15" x14ac:dyDescent="0.2">
      <c r="A513" t="str">
        <f ca="1">IFERROR(__xludf.DUMMYFUNCTION("""COMPUTED_VALUE"""),"km")</f>
        <v>km</v>
      </c>
      <c r="B513" t="str">
        <f ca="1">IFERROR(__xludf.DUMMYFUNCTION("""COMPUTED_VALUE"""),"Model S 85D")</f>
        <v>Model S 85D</v>
      </c>
      <c r="D513">
        <f ca="1">IFERROR(__xludf.DUMMYFUNCTION("""COMPUTED_VALUE"""),8414)</f>
        <v>8414</v>
      </c>
      <c r="E513">
        <f ca="1">IFERROR(__xludf.DUMMYFUNCTION("""COMPUTED_VALUE"""),401)</f>
        <v>401</v>
      </c>
      <c r="F513">
        <v>425</v>
      </c>
      <c r="G513">
        <v>0.94352941176470584</v>
      </c>
      <c r="H513">
        <v>5228</v>
      </c>
      <c r="I513">
        <v>8414</v>
      </c>
      <c r="J513">
        <v>5228</v>
      </c>
      <c r="K513">
        <v>0.9942974241394158</v>
      </c>
      <c r="L513">
        <f t="shared" ca="1" si="58"/>
        <v>249.169771</v>
      </c>
      <c r="M513">
        <f t="shared" si="58"/>
        <v>264.08267499999999</v>
      </c>
      <c r="N513">
        <v>5228</v>
      </c>
      <c r="O513">
        <f t="shared" ca="1" si="54"/>
        <v>0.94352941176470584</v>
      </c>
    </row>
    <row r="514" spans="1:15" x14ac:dyDescent="0.2">
      <c r="A514" t="str">
        <f ca="1">IFERROR(__xludf.DUMMYFUNCTION("""COMPUTED_VALUE"""),"mi")</f>
        <v>mi</v>
      </c>
      <c r="B514" t="str">
        <f ca="1">IFERROR(__xludf.DUMMYFUNCTION("""COMPUTED_VALUE"""),"Model S 85")</f>
        <v>Model S 85</v>
      </c>
      <c r="C514">
        <f ca="1">IFERROR(__xludf.DUMMYFUNCTION("""COMPUTED_VALUE"""),265)</f>
        <v>265</v>
      </c>
      <c r="D514">
        <f ca="1">IFERROR(__xludf.DUMMYFUNCTION("""COMPUTED_VALUE"""),70566)</f>
        <v>70566</v>
      </c>
      <c r="E514">
        <f ca="1">IFERROR(__xludf.DUMMYFUNCTION("""COMPUTED_VALUE"""),251)</f>
        <v>251</v>
      </c>
      <c r="F514">
        <v>266</v>
      </c>
      <c r="G514">
        <v>0.94360902255639101</v>
      </c>
      <c r="H514">
        <v>70566</v>
      </c>
      <c r="I514">
        <v>113565</v>
      </c>
      <c r="J514">
        <v>70566</v>
      </c>
      <c r="K514">
        <v>0.93422591691799162</v>
      </c>
      <c r="L514">
        <f ca="1">IFERROR(__xludf.DUMMYFUNCTION("""COMPUTED_VALUE"""),251)</f>
        <v>251</v>
      </c>
      <c r="M514">
        <v>266</v>
      </c>
      <c r="N514">
        <v>70566</v>
      </c>
      <c r="O514">
        <f t="shared" ref="O514:O577" ca="1" si="59">L514/M514</f>
        <v>0.94360902255639101</v>
      </c>
    </row>
    <row r="515" spans="1:15" x14ac:dyDescent="0.2">
      <c r="A515" t="str">
        <f ca="1">IFERROR(__xludf.DUMMYFUNCTION("""COMPUTED_VALUE"""),"mi")</f>
        <v>mi</v>
      </c>
      <c r="B515" t="str">
        <f ca="1">IFERROR(__xludf.DUMMYFUNCTION("""COMPUTED_VALUE"""),"Model S 85")</f>
        <v>Model S 85</v>
      </c>
      <c r="D515">
        <f ca="1">IFERROR(__xludf.DUMMYFUNCTION("""COMPUTED_VALUE"""),50225)</f>
        <v>50225</v>
      </c>
      <c r="E515">
        <f ca="1">IFERROR(__xludf.DUMMYFUNCTION("""COMPUTED_VALUE"""),251)</f>
        <v>251</v>
      </c>
      <c r="F515">
        <v>266</v>
      </c>
      <c r="G515">
        <v>0.94360902255639101</v>
      </c>
      <c r="H515">
        <v>50225</v>
      </c>
      <c r="I515">
        <v>80829</v>
      </c>
      <c r="J515">
        <v>50225</v>
      </c>
      <c r="K515">
        <v>0.95063657765126464</v>
      </c>
      <c r="L515">
        <f ca="1">IFERROR(__xludf.DUMMYFUNCTION("""COMPUTED_VALUE"""),251)</f>
        <v>251</v>
      </c>
      <c r="M515">
        <v>266</v>
      </c>
      <c r="N515">
        <v>50225</v>
      </c>
      <c r="O515">
        <f t="shared" ca="1" si="59"/>
        <v>0.94360902255639101</v>
      </c>
    </row>
    <row r="516" spans="1:15" x14ac:dyDescent="0.2">
      <c r="A516" t="str">
        <f ca="1">IFERROR(__xludf.DUMMYFUNCTION("""COMPUTED_VALUE"""),"mi")</f>
        <v>mi</v>
      </c>
      <c r="B516" t="str">
        <f ca="1">IFERROR(__xludf.DUMMYFUNCTION("""COMPUTED_VALUE"""),"Model S 85")</f>
        <v>Model S 85</v>
      </c>
      <c r="C516">
        <f ca="1">IFERROR(__xludf.DUMMYFUNCTION("""COMPUTED_VALUE"""),272)</f>
        <v>272</v>
      </c>
      <c r="D516">
        <f ca="1">IFERROR(__xludf.DUMMYFUNCTION("""COMPUTED_VALUE"""),61600)</f>
        <v>61600</v>
      </c>
      <c r="E516">
        <f ca="1">IFERROR(__xludf.DUMMYFUNCTION("""COMPUTED_VALUE"""),251)</f>
        <v>251</v>
      </c>
      <c r="F516">
        <v>266</v>
      </c>
      <c r="G516">
        <v>0.94360902255639101</v>
      </c>
      <c r="H516">
        <v>61600</v>
      </c>
      <c r="I516">
        <v>99136</v>
      </c>
      <c r="J516">
        <v>61600</v>
      </c>
      <c r="K516">
        <v>0.94119509056699646</v>
      </c>
      <c r="L516">
        <f ca="1">IFERROR(__xludf.DUMMYFUNCTION("""COMPUTED_VALUE"""),251)</f>
        <v>251</v>
      </c>
      <c r="M516">
        <v>266</v>
      </c>
      <c r="N516">
        <v>61600</v>
      </c>
      <c r="O516">
        <f t="shared" ca="1" si="59"/>
        <v>0.94360902255639101</v>
      </c>
    </row>
    <row r="517" spans="1:15" x14ac:dyDescent="0.2">
      <c r="A517" t="str">
        <f ca="1">IFERROR(__xludf.DUMMYFUNCTION("""COMPUTED_VALUE"""),"mi")</f>
        <v>mi</v>
      </c>
      <c r="B517" t="str">
        <f ca="1">IFERROR(__xludf.DUMMYFUNCTION("""COMPUTED_VALUE"""),"Model S P85")</f>
        <v>Model S P85</v>
      </c>
      <c r="C517">
        <f ca="1">IFERROR(__xludf.DUMMYFUNCTION("""COMPUTED_VALUE"""),260)</f>
        <v>260</v>
      </c>
      <c r="D517">
        <f ca="1">IFERROR(__xludf.DUMMYFUNCTION("""COMPUTED_VALUE"""),56544)</f>
        <v>56544</v>
      </c>
      <c r="E517">
        <f ca="1">IFERROR(__xludf.DUMMYFUNCTION("""COMPUTED_VALUE"""),251)</f>
        <v>251</v>
      </c>
      <c r="F517">
        <v>266</v>
      </c>
      <c r="G517">
        <v>0.94360902255639101</v>
      </c>
      <c r="H517">
        <v>56544</v>
      </c>
      <c r="I517">
        <v>90999</v>
      </c>
      <c r="J517">
        <v>56544</v>
      </c>
      <c r="K517">
        <v>0.94530955239145886</v>
      </c>
      <c r="L517">
        <f ca="1">IFERROR(__xludf.DUMMYFUNCTION("""COMPUTED_VALUE"""),251)</f>
        <v>251</v>
      </c>
      <c r="M517">
        <v>266</v>
      </c>
      <c r="N517">
        <v>56544</v>
      </c>
      <c r="O517">
        <f t="shared" ca="1" si="59"/>
        <v>0.94360902255639101</v>
      </c>
    </row>
    <row r="518" spans="1:15" x14ac:dyDescent="0.2">
      <c r="A518" t="str">
        <f ca="1">IFERROR(__xludf.DUMMYFUNCTION("""COMPUTED_VALUE"""),"mi")</f>
        <v>mi</v>
      </c>
      <c r="B518" t="str">
        <f ca="1">IFERROR(__xludf.DUMMYFUNCTION("""COMPUTED_VALUE"""),"Model S P85")</f>
        <v>Model S P85</v>
      </c>
      <c r="C518">
        <f ca="1">IFERROR(__xludf.DUMMYFUNCTION("""COMPUTED_VALUE"""),260)</f>
        <v>260</v>
      </c>
      <c r="D518">
        <f ca="1">IFERROR(__xludf.DUMMYFUNCTION("""COMPUTED_VALUE"""),43715)</f>
        <v>43715</v>
      </c>
      <c r="E518">
        <f ca="1">IFERROR(__xludf.DUMMYFUNCTION("""COMPUTED_VALUE"""),251)</f>
        <v>251</v>
      </c>
      <c r="F518">
        <v>266</v>
      </c>
      <c r="G518">
        <v>0.94360902255639101</v>
      </c>
      <c r="H518">
        <v>43715</v>
      </c>
      <c r="I518">
        <v>70352</v>
      </c>
      <c r="J518">
        <v>43715</v>
      </c>
      <c r="K518">
        <v>0.95633654310197791</v>
      </c>
      <c r="L518">
        <f ca="1">IFERROR(__xludf.DUMMYFUNCTION("""COMPUTED_VALUE"""),251)</f>
        <v>251</v>
      </c>
      <c r="M518">
        <v>266</v>
      </c>
      <c r="N518">
        <v>43715</v>
      </c>
      <c r="O518">
        <f t="shared" ca="1" si="59"/>
        <v>0.94360902255639101</v>
      </c>
    </row>
    <row r="519" spans="1:15" x14ac:dyDescent="0.2">
      <c r="A519" t="str">
        <f ca="1">IFERROR(__xludf.DUMMYFUNCTION("""COMPUTED_VALUE"""),"km")</f>
        <v>km</v>
      </c>
      <c r="B519" t="str">
        <f ca="1">IFERROR(__xludf.DUMMYFUNCTION("""COMPUTED_VALUE"""),"Model S 60")</f>
        <v>Model S 60</v>
      </c>
      <c r="C519">
        <f ca="1">IFERROR(__xludf.DUMMYFUNCTION("""COMPUTED_VALUE"""),288)</f>
        <v>288</v>
      </c>
      <c r="D519">
        <f ca="1">IFERROR(__xludf.DUMMYFUNCTION("""COMPUTED_VALUE"""),45500)</f>
        <v>45500</v>
      </c>
      <c r="E519">
        <f ca="1">IFERROR(__xludf.DUMMYFUNCTION("""COMPUTED_VALUE"""),268)</f>
        <v>268</v>
      </c>
      <c r="F519">
        <v>284</v>
      </c>
      <c r="G519">
        <v>0.94366197183098588</v>
      </c>
      <c r="H519">
        <v>28272</v>
      </c>
      <c r="I519">
        <v>45500</v>
      </c>
      <c r="J519">
        <v>28272</v>
      </c>
      <c r="K519">
        <v>0.97070349775792464</v>
      </c>
      <c r="L519">
        <f t="shared" ref="L519:L555" ca="1" si="60">E519*0.621371</f>
        <v>166.52742800000001</v>
      </c>
      <c r="M519">
        <f t="shared" ref="M519:M555" si="61">F519*0.621371</f>
        <v>176.46936400000001</v>
      </c>
      <c r="N519">
        <v>28272</v>
      </c>
      <c r="O519">
        <f t="shared" ca="1" si="59"/>
        <v>0.94366197183098588</v>
      </c>
    </row>
    <row r="520" spans="1:15" x14ac:dyDescent="0.2">
      <c r="A520" t="str">
        <f ca="1">IFERROR(__xludf.DUMMYFUNCTION("""COMPUTED_VALUE"""),"km")</f>
        <v>km</v>
      </c>
      <c r="B520" t="str">
        <f ca="1">IFERROR(__xludf.DUMMYFUNCTION("""COMPUTED_VALUE"""),"Model S 90D")</f>
        <v>Model S 90D</v>
      </c>
      <c r="D520">
        <f ca="1">IFERROR(__xludf.DUMMYFUNCTION("""COMPUTED_VALUE"""),80000)</f>
        <v>80000</v>
      </c>
      <c r="E520">
        <f ca="1">IFERROR(__xludf.DUMMYFUNCTION("""COMPUTED_VALUE"""),422)</f>
        <v>422</v>
      </c>
      <c r="F520">
        <v>447</v>
      </c>
      <c r="G520">
        <v>0.94407158836689042</v>
      </c>
      <c r="H520">
        <v>49710</v>
      </c>
      <c r="I520">
        <v>80000</v>
      </c>
      <c r="J520">
        <v>49710</v>
      </c>
      <c r="K520">
        <v>0.95107978059412024</v>
      </c>
      <c r="L520">
        <f t="shared" ca="1" si="60"/>
        <v>262.21856200000002</v>
      </c>
      <c r="M520">
        <f t="shared" si="61"/>
        <v>277.752837</v>
      </c>
      <c r="N520">
        <v>49710</v>
      </c>
      <c r="O520">
        <f t="shared" ca="1" si="59"/>
        <v>0.94407158836689042</v>
      </c>
    </row>
    <row r="521" spans="1:15" x14ac:dyDescent="0.2">
      <c r="A521" t="str">
        <f ca="1">IFERROR(__xludf.DUMMYFUNCTION("""COMPUTED_VALUE"""),"km")</f>
        <v>km</v>
      </c>
      <c r="B521" t="str">
        <f ca="1">IFERROR(__xludf.DUMMYFUNCTION("""COMPUTED_VALUE"""),"Model S 90D")</f>
        <v>Model S 90D</v>
      </c>
      <c r="D521">
        <f ca="1">IFERROR(__xludf.DUMMYFUNCTION("""COMPUTED_VALUE"""),74117)</f>
        <v>74117</v>
      </c>
      <c r="E521">
        <f ca="1">IFERROR(__xludf.DUMMYFUNCTION("""COMPUTED_VALUE"""),422)</f>
        <v>422</v>
      </c>
      <c r="F521">
        <v>447</v>
      </c>
      <c r="G521">
        <v>0.94407158836689042</v>
      </c>
      <c r="H521">
        <v>46054</v>
      </c>
      <c r="I521">
        <v>74117</v>
      </c>
      <c r="J521">
        <v>46054</v>
      </c>
      <c r="K521">
        <v>0.95426358770554742</v>
      </c>
      <c r="L521">
        <f t="shared" ca="1" si="60"/>
        <v>262.21856200000002</v>
      </c>
      <c r="M521">
        <f t="shared" si="61"/>
        <v>277.752837</v>
      </c>
      <c r="N521">
        <v>46054</v>
      </c>
      <c r="O521">
        <f t="shared" ca="1" si="59"/>
        <v>0.94407158836689042</v>
      </c>
    </row>
    <row r="522" spans="1:15" x14ac:dyDescent="0.2">
      <c r="A522" t="str">
        <f ca="1">IFERROR(__xludf.DUMMYFUNCTION("""COMPUTED_VALUE"""),"km")</f>
        <v>km</v>
      </c>
      <c r="B522" t="str">
        <f ca="1">IFERROR(__xludf.DUMMYFUNCTION("""COMPUTED_VALUE"""),"Model S 90D")</f>
        <v>Model S 90D</v>
      </c>
      <c r="C522">
        <f ca="1">IFERROR(__xludf.DUMMYFUNCTION("""COMPUTED_VALUE"""),457)</f>
        <v>457</v>
      </c>
      <c r="D522">
        <f ca="1">IFERROR(__xludf.DUMMYFUNCTION("""COMPUTED_VALUE"""),46000)</f>
        <v>46000</v>
      </c>
      <c r="E522">
        <f ca="1">IFERROR(__xludf.DUMMYFUNCTION("""COMPUTED_VALUE"""),422)</f>
        <v>422</v>
      </c>
      <c r="F522">
        <v>447</v>
      </c>
      <c r="G522">
        <v>0.94407158836689042</v>
      </c>
      <c r="H522">
        <v>28583</v>
      </c>
      <c r="I522">
        <v>46000</v>
      </c>
      <c r="J522">
        <v>28583</v>
      </c>
      <c r="K522">
        <v>0.97040286442141643</v>
      </c>
      <c r="L522">
        <f t="shared" ca="1" si="60"/>
        <v>262.21856200000002</v>
      </c>
      <c r="M522">
        <f t="shared" si="61"/>
        <v>277.752837</v>
      </c>
      <c r="N522">
        <v>28583</v>
      </c>
      <c r="O522">
        <f t="shared" ca="1" si="59"/>
        <v>0.94407158836689042</v>
      </c>
    </row>
    <row r="523" spans="1:15" x14ac:dyDescent="0.2">
      <c r="A523" t="str">
        <f ca="1">IFERROR(__xludf.DUMMYFUNCTION("""COMPUTED_VALUE"""),"km")</f>
        <v>km</v>
      </c>
      <c r="B523" t="str">
        <f ca="1">IFERROR(__xludf.DUMMYFUNCTION("""COMPUTED_VALUE"""),"Model S 90D")</f>
        <v>Model S 90D</v>
      </c>
      <c r="C523">
        <f ca="1">IFERROR(__xludf.DUMMYFUNCTION("""COMPUTED_VALUE"""),432)</f>
        <v>432</v>
      </c>
      <c r="D523">
        <f ca="1">IFERROR(__xludf.DUMMYFUNCTION("""COMPUTED_VALUE"""),63637)</f>
        <v>63637</v>
      </c>
      <c r="E523">
        <f ca="1">IFERROR(__xludf.DUMMYFUNCTION("""COMPUTED_VALUE"""),422)</f>
        <v>422</v>
      </c>
      <c r="F523">
        <v>447</v>
      </c>
      <c r="G523">
        <v>0.94407158836689042</v>
      </c>
      <c r="H523">
        <v>39542</v>
      </c>
      <c r="I523">
        <v>63637</v>
      </c>
      <c r="J523">
        <v>39542</v>
      </c>
      <c r="K523">
        <v>0.96010185364447254</v>
      </c>
      <c r="L523">
        <f t="shared" ca="1" si="60"/>
        <v>262.21856200000002</v>
      </c>
      <c r="M523">
        <f t="shared" si="61"/>
        <v>277.752837</v>
      </c>
      <c r="N523">
        <v>39542</v>
      </c>
      <c r="O523">
        <f t="shared" ca="1" si="59"/>
        <v>0.94407158836689042</v>
      </c>
    </row>
    <row r="524" spans="1:15" x14ac:dyDescent="0.2">
      <c r="A524" t="str">
        <f ca="1">IFERROR(__xludf.DUMMYFUNCTION("""COMPUTED_VALUE"""),"km")</f>
        <v>km</v>
      </c>
      <c r="B524" t="str">
        <f ca="1">IFERROR(__xludf.DUMMYFUNCTION("""COMPUTED_VALUE"""),"Model S 85")</f>
        <v>Model S 85</v>
      </c>
      <c r="D524">
        <f ca="1">IFERROR(__xludf.DUMMYFUNCTION("""COMPUTED_VALUE"""),61000)</f>
        <v>61000</v>
      </c>
      <c r="E524">
        <f ca="1">IFERROR(__xludf.DUMMYFUNCTION("""COMPUTED_VALUE"""),373)</f>
        <v>373</v>
      </c>
      <c r="F524">
        <v>395</v>
      </c>
      <c r="G524">
        <v>0.94430379746835447</v>
      </c>
      <c r="H524">
        <v>37904</v>
      </c>
      <c r="I524">
        <v>61000</v>
      </c>
      <c r="J524">
        <v>37904</v>
      </c>
      <c r="K524">
        <v>0.96160425792597082</v>
      </c>
      <c r="L524">
        <f t="shared" ca="1" si="60"/>
        <v>231.77138300000001</v>
      </c>
      <c r="M524">
        <f t="shared" si="61"/>
        <v>245.44154499999999</v>
      </c>
      <c r="N524">
        <v>37904</v>
      </c>
      <c r="O524">
        <f t="shared" ca="1" si="59"/>
        <v>0.94430379746835458</v>
      </c>
    </row>
    <row r="525" spans="1:15" x14ac:dyDescent="0.2">
      <c r="A525" t="str">
        <f ca="1">IFERROR(__xludf.DUMMYFUNCTION("""COMPUTED_VALUE"""),"km")</f>
        <v>km</v>
      </c>
      <c r="B525" t="str">
        <f ca="1">IFERROR(__xludf.DUMMYFUNCTION("""COMPUTED_VALUE"""),"Model S 85")</f>
        <v>Model S 85</v>
      </c>
      <c r="D525">
        <f ca="1">IFERROR(__xludf.DUMMYFUNCTION("""COMPUTED_VALUE"""),132130)</f>
        <v>132130</v>
      </c>
      <c r="E525">
        <f ca="1">IFERROR(__xludf.DUMMYFUNCTION("""COMPUTED_VALUE"""),373)</f>
        <v>373</v>
      </c>
      <c r="F525">
        <v>395</v>
      </c>
      <c r="G525">
        <v>0.94430379746835447</v>
      </c>
      <c r="H525">
        <v>82102</v>
      </c>
      <c r="I525">
        <v>132130</v>
      </c>
      <c r="J525">
        <v>82102</v>
      </c>
      <c r="K525">
        <v>0.92588355535832589</v>
      </c>
      <c r="L525">
        <f t="shared" ca="1" si="60"/>
        <v>231.77138300000001</v>
      </c>
      <c r="M525">
        <f t="shared" si="61"/>
        <v>245.44154499999999</v>
      </c>
      <c r="N525">
        <v>82102</v>
      </c>
      <c r="O525">
        <f t="shared" ca="1" si="59"/>
        <v>0.94430379746835458</v>
      </c>
    </row>
    <row r="526" spans="1:15" x14ac:dyDescent="0.2">
      <c r="A526" t="str">
        <f ca="1">IFERROR(__xludf.DUMMYFUNCTION("""COMPUTED_VALUE"""),"km")</f>
        <v>km</v>
      </c>
      <c r="B526" t="str">
        <f ca="1">IFERROR(__xludf.DUMMYFUNCTION("""COMPUTED_VALUE"""),"Model S 85")</f>
        <v>Model S 85</v>
      </c>
      <c r="D526">
        <f ca="1">IFERROR(__xludf.DUMMYFUNCTION("""COMPUTED_VALUE"""),132603)</f>
        <v>132603</v>
      </c>
      <c r="E526">
        <f ca="1">IFERROR(__xludf.DUMMYFUNCTION("""COMPUTED_VALUE"""),373)</f>
        <v>373</v>
      </c>
      <c r="F526">
        <v>395</v>
      </c>
      <c r="G526">
        <v>0.94430379746835447</v>
      </c>
      <c r="H526">
        <v>82396</v>
      </c>
      <c r="I526">
        <v>132603</v>
      </c>
      <c r="J526">
        <v>82396</v>
      </c>
      <c r="K526">
        <v>0.92568030586910499</v>
      </c>
      <c r="L526">
        <f t="shared" ca="1" si="60"/>
        <v>231.77138300000001</v>
      </c>
      <c r="M526">
        <f t="shared" si="61"/>
        <v>245.44154499999999</v>
      </c>
      <c r="N526">
        <v>82396</v>
      </c>
      <c r="O526">
        <f t="shared" ca="1" si="59"/>
        <v>0.94430379746835458</v>
      </c>
    </row>
    <row r="527" spans="1:15" x14ac:dyDescent="0.2">
      <c r="A527" t="str">
        <f ca="1">IFERROR(__xludf.DUMMYFUNCTION("""COMPUTED_VALUE"""),"km")</f>
        <v>km</v>
      </c>
      <c r="B527" t="str">
        <f ca="1">IFERROR(__xludf.DUMMYFUNCTION("""COMPUTED_VALUE"""),"Model S 85")</f>
        <v>Model S 85</v>
      </c>
      <c r="C527">
        <f ca="1">IFERROR(__xludf.DUMMYFUNCTION("""COMPUTED_VALUE"""),398)</f>
        <v>398</v>
      </c>
      <c r="D527">
        <f ca="1">IFERROR(__xludf.DUMMYFUNCTION("""COMPUTED_VALUE"""),113500)</f>
        <v>113500</v>
      </c>
      <c r="E527">
        <f ca="1">IFERROR(__xludf.DUMMYFUNCTION("""COMPUTED_VALUE"""),373)</f>
        <v>373</v>
      </c>
      <c r="F527">
        <v>395</v>
      </c>
      <c r="G527">
        <v>0.94430379746835447</v>
      </c>
      <c r="H527">
        <v>70526</v>
      </c>
      <c r="I527">
        <v>113500</v>
      </c>
      <c r="J527">
        <v>70526</v>
      </c>
      <c r="K527">
        <v>0.93425636659066014</v>
      </c>
      <c r="L527">
        <f t="shared" ca="1" si="60"/>
        <v>231.77138300000001</v>
      </c>
      <c r="M527">
        <f t="shared" si="61"/>
        <v>245.44154499999999</v>
      </c>
      <c r="N527">
        <v>70526</v>
      </c>
      <c r="O527">
        <f t="shared" ca="1" si="59"/>
        <v>0.94430379746835458</v>
      </c>
    </row>
    <row r="528" spans="1:15" x14ac:dyDescent="0.2">
      <c r="A528" t="str">
        <f ca="1">IFERROR(__xludf.DUMMYFUNCTION("""COMPUTED_VALUE"""),"km")</f>
        <v>km</v>
      </c>
      <c r="B528" t="str">
        <f ca="1">IFERROR(__xludf.DUMMYFUNCTION("""COMPUTED_VALUE"""),"Model S 85")</f>
        <v>Model S 85</v>
      </c>
      <c r="C528">
        <f ca="1">IFERROR(__xludf.DUMMYFUNCTION("""COMPUTED_VALUE"""),398)</f>
        <v>398</v>
      </c>
      <c r="D528">
        <f ca="1">IFERROR(__xludf.DUMMYFUNCTION("""COMPUTED_VALUE"""),159812)</f>
        <v>159812</v>
      </c>
      <c r="E528">
        <f ca="1">IFERROR(__xludf.DUMMYFUNCTION("""COMPUTED_VALUE"""),373)</f>
        <v>373</v>
      </c>
      <c r="F528">
        <v>395</v>
      </c>
      <c r="G528">
        <v>0.94430379746835447</v>
      </c>
      <c r="H528">
        <v>99303</v>
      </c>
      <c r="I528">
        <v>159812</v>
      </c>
      <c r="J528">
        <v>99303</v>
      </c>
      <c r="K528">
        <v>0.91477993756582432</v>
      </c>
      <c r="L528">
        <f t="shared" ca="1" si="60"/>
        <v>231.77138300000001</v>
      </c>
      <c r="M528">
        <f t="shared" si="61"/>
        <v>245.44154499999999</v>
      </c>
      <c r="N528">
        <v>99303</v>
      </c>
      <c r="O528">
        <f t="shared" ca="1" si="59"/>
        <v>0.94430379746835458</v>
      </c>
    </row>
    <row r="529" spans="1:15" x14ac:dyDescent="0.2">
      <c r="A529" t="str">
        <f ca="1">IFERROR(__xludf.DUMMYFUNCTION("""COMPUTED_VALUE"""),"km")</f>
        <v>km</v>
      </c>
      <c r="B529" t="str">
        <f ca="1">IFERROR(__xludf.DUMMYFUNCTION("""COMPUTED_VALUE"""),"Model S P85")</f>
        <v>Model S P85</v>
      </c>
      <c r="C529">
        <f ca="1">IFERROR(__xludf.DUMMYFUNCTION("""COMPUTED_VALUE"""),392)</f>
        <v>392</v>
      </c>
      <c r="D529">
        <f ca="1">IFERROR(__xludf.DUMMYFUNCTION("""COMPUTED_VALUE"""),120000)</f>
        <v>120000</v>
      </c>
      <c r="E529">
        <f ca="1">IFERROR(__xludf.DUMMYFUNCTION("""COMPUTED_VALUE"""),373)</f>
        <v>373</v>
      </c>
      <c r="F529">
        <v>395</v>
      </c>
      <c r="G529">
        <v>0.94430379746835447</v>
      </c>
      <c r="H529">
        <v>74565</v>
      </c>
      <c r="I529">
        <v>120000</v>
      </c>
      <c r="J529">
        <v>74565</v>
      </c>
      <c r="K529">
        <v>0.93125407819227712</v>
      </c>
      <c r="L529">
        <f t="shared" ca="1" si="60"/>
        <v>231.77138300000001</v>
      </c>
      <c r="M529">
        <f t="shared" si="61"/>
        <v>245.44154499999999</v>
      </c>
      <c r="N529">
        <v>74565</v>
      </c>
      <c r="O529">
        <f t="shared" ca="1" si="59"/>
        <v>0.94430379746835458</v>
      </c>
    </row>
    <row r="530" spans="1:15" x14ac:dyDescent="0.2">
      <c r="A530" t="str">
        <f ca="1">IFERROR(__xludf.DUMMYFUNCTION("""COMPUTED_VALUE"""),"km")</f>
        <v>km</v>
      </c>
      <c r="B530" t="str">
        <f ca="1">IFERROR(__xludf.DUMMYFUNCTION("""COMPUTED_VALUE"""),"Model S 85")</f>
        <v>Model S 85</v>
      </c>
      <c r="C530">
        <f ca="1">IFERROR(__xludf.DUMMYFUNCTION("""COMPUTED_VALUE"""),399)</f>
        <v>399</v>
      </c>
      <c r="D530">
        <f ca="1">IFERROR(__xludf.DUMMYFUNCTION("""COMPUTED_VALUE"""),202506)</f>
        <v>202506</v>
      </c>
      <c r="E530">
        <f ca="1">IFERROR(__xludf.DUMMYFUNCTION("""COMPUTED_VALUE"""),373)</f>
        <v>373</v>
      </c>
      <c r="F530">
        <v>395</v>
      </c>
      <c r="G530">
        <v>0.94430379746835447</v>
      </c>
      <c r="H530">
        <v>125831</v>
      </c>
      <c r="I530">
        <v>202506</v>
      </c>
      <c r="J530">
        <v>125831</v>
      </c>
      <c r="K530">
        <v>0.90089688744099761</v>
      </c>
      <c r="L530">
        <f t="shared" ca="1" si="60"/>
        <v>231.77138300000001</v>
      </c>
      <c r="M530">
        <f t="shared" si="61"/>
        <v>245.44154499999999</v>
      </c>
      <c r="N530">
        <v>125831</v>
      </c>
      <c r="O530">
        <f t="shared" ca="1" si="59"/>
        <v>0.94430379746835458</v>
      </c>
    </row>
    <row r="531" spans="1:15" x14ac:dyDescent="0.2">
      <c r="A531" t="str">
        <f ca="1">IFERROR(__xludf.DUMMYFUNCTION("""COMPUTED_VALUE"""),"km")</f>
        <v>km</v>
      </c>
      <c r="B531" t="str">
        <f ca="1">IFERROR(__xludf.DUMMYFUNCTION("""COMPUTED_VALUE"""),"Model S 85")</f>
        <v>Model S 85</v>
      </c>
      <c r="D531">
        <f ca="1">IFERROR(__xludf.DUMMYFUNCTION("""COMPUTED_VALUE"""),154801)</f>
        <v>154801</v>
      </c>
      <c r="E531">
        <f ca="1">IFERROR(__xludf.DUMMYFUNCTION("""COMPUTED_VALUE"""),373)</f>
        <v>373</v>
      </c>
      <c r="F531">
        <v>395</v>
      </c>
      <c r="G531">
        <v>0.94430379746835447</v>
      </c>
      <c r="H531">
        <v>96189</v>
      </c>
      <c r="I531">
        <v>154801</v>
      </c>
      <c r="J531">
        <v>96189</v>
      </c>
      <c r="K531">
        <v>0.91666954066975215</v>
      </c>
      <c r="L531">
        <f t="shared" ca="1" si="60"/>
        <v>231.77138300000001</v>
      </c>
      <c r="M531">
        <f t="shared" si="61"/>
        <v>245.44154499999999</v>
      </c>
      <c r="N531">
        <v>96189</v>
      </c>
      <c r="O531">
        <f t="shared" ca="1" si="59"/>
        <v>0.94430379746835458</v>
      </c>
    </row>
    <row r="532" spans="1:15" x14ac:dyDescent="0.2">
      <c r="A532" t="str">
        <f ca="1">IFERROR(__xludf.DUMMYFUNCTION("""COMPUTED_VALUE"""),"km")</f>
        <v>km</v>
      </c>
      <c r="B532" t="str">
        <f ca="1">IFERROR(__xludf.DUMMYFUNCTION("""COMPUTED_VALUE"""),"Model S P85+")</f>
        <v>Model S P85+</v>
      </c>
      <c r="C532">
        <f ca="1">IFERROR(__xludf.DUMMYFUNCTION("""COMPUTED_VALUE"""),400)</f>
        <v>400</v>
      </c>
      <c r="D532">
        <f ca="1">IFERROR(__xludf.DUMMYFUNCTION("""COMPUTED_VALUE"""),147768)</f>
        <v>147768</v>
      </c>
      <c r="E532">
        <f ca="1">IFERROR(__xludf.DUMMYFUNCTION("""COMPUTED_VALUE"""),373)</f>
        <v>373</v>
      </c>
      <c r="F532">
        <v>395</v>
      </c>
      <c r="G532">
        <v>0.94430379746835447</v>
      </c>
      <c r="H532">
        <v>91819</v>
      </c>
      <c r="I532">
        <v>147768</v>
      </c>
      <c r="J532">
        <v>91819</v>
      </c>
      <c r="K532">
        <v>0.91941190696110142</v>
      </c>
      <c r="L532">
        <f t="shared" ca="1" si="60"/>
        <v>231.77138300000001</v>
      </c>
      <c r="M532">
        <f t="shared" si="61"/>
        <v>245.44154499999999</v>
      </c>
      <c r="N532">
        <v>91819</v>
      </c>
      <c r="O532">
        <f t="shared" ca="1" si="59"/>
        <v>0.94430379746835458</v>
      </c>
    </row>
    <row r="533" spans="1:15" x14ac:dyDescent="0.2">
      <c r="A533" t="str">
        <f ca="1">IFERROR(__xludf.DUMMYFUNCTION("""COMPUTED_VALUE"""),"km")</f>
        <v>km</v>
      </c>
      <c r="B533" t="str">
        <f ca="1">IFERROR(__xludf.DUMMYFUNCTION("""COMPUTED_VALUE"""),"Model S 85")</f>
        <v>Model S 85</v>
      </c>
      <c r="C533">
        <f ca="1">IFERROR(__xludf.DUMMYFUNCTION("""COMPUTED_VALUE"""),393)</f>
        <v>393</v>
      </c>
      <c r="D533">
        <f ca="1">IFERROR(__xludf.DUMMYFUNCTION("""COMPUTED_VALUE"""),97602)</f>
        <v>97602</v>
      </c>
      <c r="E533">
        <f ca="1">IFERROR(__xludf.DUMMYFUNCTION("""COMPUTED_VALUE"""),373)</f>
        <v>373</v>
      </c>
      <c r="F533">
        <v>395</v>
      </c>
      <c r="G533">
        <v>0.94430379746835447</v>
      </c>
      <c r="H533">
        <v>60647</v>
      </c>
      <c r="I533">
        <v>97602</v>
      </c>
      <c r="J533">
        <v>60647</v>
      </c>
      <c r="K533">
        <v>0.94196064964945847</v>
      </c>
      <c r="L533">
        <f t="shared" ca="1" si="60"/>
        <v>231.77138300000001</v>
      </c>
      <c r="M533">
        <f t="shared" si="61"/>
        <v>245.44154499999999</v>
      </c>
      <c r="N533">
        <v>60647</v>
      </c>
      <c r="O533">
        <f t="shared" ca="1" si="59"/>
        <v>0.94430379746835458</v>
      </c>
    </row>
    <row r="534" spans="1:15" x14ac:dyDescent="0.2">
      <c r="A534" t="str">
        <f ca="1">IFERROR(__xludf.DUMMYFUNCTION("""COMPUTED_VALUE"""),"km")</f>
        <v>km</v>
      </c>
      <c r="B534" t="str">
        <f ca="1">IFERROR(__xludf.DUMMYFUNCTION("""COMPUTED_VALUE"""),"Model S 85")</f>
        <v>Model S 85</v>
      </c>
      <c r="C534">
        <f ca="1">IFERROR(__xludf.DUMMYFUNCTION("""COMPUTED_VALUE"""),383)</f>
        <v>383</v>
      </c>
      <c r="D534">
        <f ca="1">IFERROR(__xludf.DUMMYFUNCTION("""COMPUTED_VALUE"""),109248)</f>
        <v>109248</v>
      </c>
      <c r="E534">
        <f ca="1">IFERROR(__xludf.DUMMYFUNCTION("""COMPUTED_VALUE"""),373)</f>
        <v>373</v>
      </c>
      <c r="F534">
        <v>395</v>
      </c>
      <c r="G534">
        <v>0.94430379746835447</v>
      </c>
      <c r="H534">
        <v>67884</v>
      </c>
      <c r="I534">
        <v>109248</v>
      </c>
      <c r="J534">
        <v>67884</v>
      </c>
      <c r="K534">
        <v>0.93626689707270261</v>
      </c>
      <c r="L534">
        <f t="shared" ca="1" si="60"/>
        <v>231.77138300000001</v>
      </c>
      <c r="M534">
        <f t="shared" si="61"/>
        <v>245.44154499999999</v>
      </c>
      <c r="N534">
        <v>67884</v>
      </c>
      <c r="O534">
        <f t="shared" ca="1" si="59"/>
        <v>0.94430379746835458</v>
      </c>
    </row>
    <row r="535" spans="1:15" x14ac:dyDescent="0.2">
      <c r="A535" t="str">
        <f ca="1">IFERROR(__xludf.DUMMYFUNCTION("""COMPUTED_VALUE"""),"km")</f>
        <v>km</v>
      </c>
      <c r="B535" t="str">
        <f ca="1">IFERROR(__xludf.DUMMYFUNCTION("""COMPUTED_VALUE"""),"Model S 85")</f>
        <v>Model S 85</v>
      </c>
      <c r="D535">
        <f ca="1">IFERROR(__xludf.DUMMYFUNCTION("""COMPUTED_VALUE"""),65833)</f>
        <v>65833</v>
      </c>
      <c r="E535">
        <f ca="1">IFERROR(__xludf.DUMMYFUNCTION("""COMPUTED_VALUE"""),373)</f>
        <v>373</v>
      </c>
      <c r="F535">
        <v>395</v>
      </c>
      <c r="G535">
        <v>0.94430379746835447</v>
      </c>
      <c r="H535">
        <v>40907</v>
      </c>
      <c r="I535">
        <v>65833</v>
      </c>
      <c r="J535">
        <v>40907</v>
      </c>
      <c r="K535">
        <v>0.95886091084722902</v>
      </c>
      <c r="L535">
        <f t="shared" ca="1" si="60"/>
        <v>231.77138300000001</v>
      </c>
      <c r="M535">
        <f t="shared" si="61"/>
        <v>245.44154499999999</v>
      </c>
      <c r="N535">
        <v>40907</v>
      </c>
      <c r="O535">
        <f t="shared" ca="1" si="59"/>
        <v>0.94430379746835458</v>
      </c>
    </row>
    <row r="536" spans="1:15" x14ac:dyDescent="0.2">
      <c r="A536" t="str">
        <f ca="1">IFERROR(__xludf.DUMMYFUNCTION("""COMPUTED_VALUE"""),"km")</f>
        <v>km</v>
      </c>
      <c r="B536" t="str">
        <f ca="1">IFERROR(__xludf.DUMMYFUNCTION("""COMPUTED_VALUE"""),"Model S 85")</f>
        <v>Model S 85</v>
      </c>
      <c r="D536">
        <f ca="1">IFERROR(__xludf.DUMMYFUNCTION("""COMPUTED_VALUE"""),104000)</f>
        <v>104000</v>
      </c>
      <c r="E536">
        <f ca="1">IFERROR(__xludf.DUMMYFUNCTION("""COMPUTED_VALUE"""),373)</f>
        <v>373</v>
      </c>
      <c r="F536">
        <v>395</v>
      </c>
      <c r="G536">
        <v>0.94430379746835447</v>
      </c>
      <c r="H536">
        <v>64623</v>
      </c>
      <c r="I536">
        <v>104000</v>
      </c>
      <c r="J536">
        <v>64623</v>
      </c>
      <c r="K536">
        <v>0.93879886085432418</v>
      </c>
      <c r="L536">
        <f t="shared" ca="1" si="60"/>
        <v>231.77138300000001</v>
      </c>
      <c r="M536">
        <f t="shared" si="61"/>
        <v>245.44154499999999</v>
      </c>
      <c r="N536">
        <v>64623</v>
      </c>
      <c r="O536">
        <f t="shared" ca="1" si="59"/>
        <v>0.94430379746835458</v>
      </c>
    </row>
    <row r="537" spans="1:15" x14ac:dyDescent="0.2">
      <c r="A537" t="str">
        <f ca="1">IFERROR(__xludf.DUMMYFUNCTION("""COMPUTED_VALUE"""),"km")</f>
        <v>km</v>
      </c>
      <c r="B537" t="str">
        <f ca="1">IFERROR(__xludf.DUMMYFUNCTION("""COMPUTED_VALUE"""),"Model S 85")</f>
        <v>Model S 85</v>
      </c>
      <c r="C537">
        <f ca="1">IFERROR(__xludf.DUMMYFUNCTION("""COMPUTED_VALUE"""),400)</f>
        <v>400</v>
      </c>
      <c r="D537">
        <f ca="1">IFERROR(__xludf.DUMMYFUNCTION("""COMPUTED_VALUE"""),71000)</f>
        <v>71000</v>
      </c>
      <c r="E537">
        <f ca="1">IFERROR(__xludf.DUMMYFUNCTION("""COMPUTED_VALUE"""),373)</f>
        <v>373</v>
      </c>
      <c r="F537">
        <v>395</v>
      </c>
      <c r="G537">
        <v>0.94430379746835447</v>
      </c>
      <c r="H537">
        <v>44117</v>
      </c>
      <c r="I537">
        <v>71000</v>
      </c>
      <c r="J537">
        <v>44117</v>
      </c>
      <c r="K537">
        <v>0.95597780272580435</v>
      </c>
      <c r="L537">
        <f t="shared" ca="1" si="60"/>
        <v>231.77138300000001</v>
      </c>
      <c r="M537">
        <f t="shared" si="61"/>
        <v>245.44154499999999</v>
      </c>
      <c r="N537">
        <v>44117</v>
      </c>
      <c r="O537">
        <f t="shared" ca="1" si="59"/>
        <v>0.94430379746835458</v>
      </c>
    </row>
    <row r="538" spans="1:15" x14ac:dyDescent="0.2">
      <c r="A538" t="str">
        <f ca="1">IFERROR(__xludf.DUMMYFUNCTION("""COMPUTED_VALUE"""),"km")</f>
        <v>km</v>
      </c>
      <c r="B538" t="str">
        <f ca="1">IFERROR(__xludf.DUMMYFUNCTION("""COMPUTED_VALUE"""),"Model S 85")</f>
        <v>Model S 85</v>
      </c>
      <c r="C538">
        <f ca="1">IFERROR(__xludf.DUMMYFUNCTION("""COMPUTED_VALUE"""),398)</f>
        <v>398</v>
      </c>
      <c r="D538">
        <f ca="1">IFERROR(__xludf.DUMMYFUNCTION("""COMPUTED_VALUE"""),113170)</f>
        <v>113170</v>
      </c>
      <c r="E538">
        <f ca="1">IFERROR(__xludf.DUMMYFUNCTION("""COMPUTED_VALUE"""),373)</f>
        <v>373</v>
      </c>
      <c r="F538">
        <v>395</v>
      </c>
      <c r="G538">
        <v>0.94430379746835447</v>
      </c>
      <c r="H538">
        <v>70321</v>
      </c>
      <c r="I538">
        <v>113170</v>
      </c>
      <c r="J538">
        <v>70321</v>
      </c>
      <c r="K538">
        <v>0.93441108989615973</v>
      </c>
      <c r="L538">
        <f t="shared" ca="1" si="60"/>
        <v>231.77138300000001</v>
      </c>
      <c r="M538">
        <f t="shared" si="61"/>
        <v>245.44154499999999</v>
      </c>
      <c r="N538">
        <v>70321</v>
      </c>
      <c r="O538">
        <f t="shared" ca="1" si="59"/>
        <v>0.94430379746835458</v>
      </c>
    </row>
    <row r="539" spans="1:15" x14ac:dyDescent="0.2">
      <c r="A539" t="str">
        <f ca="1">IFERROR(__xludf.DUMMYFUNCTION("""COMPUTED_VALUE"""),"km")</f>
        <v>km</v>
      </c>
      <c r="B539" t="str">
        <f ca="1">IFERROR(__xludf.DUMMYFUNCTION("""COMPUTED_VALUE"""),"Model S P85")</f>
        <v>Model S P85</v>
      </c>
      <c r="C539">
        <f ca="1">IFERROR(__xludf.DUMMYFUNCTION("""COMPUTED_VALUE"""),407)</f>
        <v>407</v>
      </c>
      <c r="D539">
        <f ca="1">IFERROR(__xludf.DUMMYFUNCTION("""COMPUTED_VALUE"""),121121)</f>
        <v>121121</v>
      </c>
      <c r="E539">
        <f ca="1">IFERROR(__xludf.DUMMYFUNCTION("""COMPUTED_VALUE"""),373)</f>
        <v>373</v>
      </c>
      <c r="F539">
        <v>395</v>
      </c>
      <c r="G539">
        <v>0.94430379746835447</v>
      </c>
      <c r="H539">
        <v>75261</v>
      </c>
      <c r="I539">
        <v>121121</v>
      </c>
      <c r="J539">
        <v>75261</v>
      </c>
      <c r="K539">
        <v>0.93074504091164445</v>
      </c>
      <c r="L539">
        <f t="shared" ca="1" si="60"/>
        <v>231.77138300000001</v>
      </c>
      <c r="M539">
        <f t="shared" si="61"/>
        <v>245.44154499999999</v>
      </c>
      <c r="N539">
        <v>75261</v>
      </c>
      <c r="O539">
        <f t="shared" ca="1" si="59"/>
        <v>0.94430379746835458</v>
      </c>
    </row>
    <row r="540" spans="1:15" x14ac:dyDescent="0.2">
      <c r="A540" t="str">
        <f ca="1">IFERROR(__xludf.DUMMYFUNCTION("""COMPUTED_VALUE"""),"km")</f>
        <v>km</v>
      </c>
      <c r="B540" t="str">
        <f ca="1">IFERROR(__xludf.DUMMYFUNCTION("""COMPUTED_VALUE"""),"Model S P85")</f>
        <v>Model S P85</v>
      </c>
      <c r="D540">
        <f ca="1">IFERROR(__xludf.DUMMYFUNCTION("""COMPUTED_VALUE"""),69000)</f>
        <v>69000</v>
      </c>
      <c r="E540">
        <f ca="1">IFERROR(__xludf.DUMMYFUNCTION("""COMPUTED_VALUE"""),373)</f>
        <v>373</v>
      </c>
      <c r="F540">
        <v>395</v>
      </c>
      <c r="G540">
        <v>0.94430379746835447</v>
      </c>
      <c r="H540">
        <v>42875</v>
      </c>
      <c r="I540">
        <v>69000</v>
      </c>
      <c r="J540">
        <v>42875</v>
      </c>
      <c r="K540">
        <v>0.95708764602563101</v>
      </c>
      <c r="L540">
        <f t="shared" ca="1" si="60"/>
        <v>231.77138300000001</v>
      </c>
      <c r="M540">
        <f t="shared" si="61"/>
        <v>245.44154499999999</v>
      </c>
      <c r="N540">
        <v>42875</v>
      </c>
      <c r="O540">
        <f t="shared" ca="1" si="59"/>
        <v>0.94430379746835458</v>
      </c>
    </row>
    <row r="541" spans="1:15" x14ac:dyDescent="0.2">
      <c r="A541" t="str">
        <f ca="1">IFERROR(__xludf.DUMMYFUNCTION("""COMPUTED_VALUE"""),"km")</f>
        <v>km</v>
      </c>
      <c r="B541" t="str">
        <f ca="1">IFERROR(__xludf.DUMMYFUNCTION("""COMPUTED_VALUE"""),"Model S P85+")</f>
        <v>Model S P85+</v>
      </c>
      <c r="C541">
        <f ca="1">IFERROR(__xludf.DUMMYFUNCTION("""COMPUTED_VALUE"""),400)</f>
        <v>400</v>
      </c>
      <c r="D541">
        <f ca="1">IFERROR(__xludf.DUMMYFUNCTION("""COMPUTED_VALUE"""),88870)</f>
        <v>88870</v>
      </c>
      <c r="E541">
        <f ca="1">IFERROR(__xludf.DUMMYFUNCTION("""COMPUTED_VALUE"""),373)</f>
        <v>373</v>
      </c>
      <c r="F541">
        <v>395</v>
      </c>
      <c r="G541">
        <v>0.94430379746835447</v>
      </c>
      <c r="H541">
        <v>55221</v>
      </c>
      <c r="I541">
        <v>88870</v>
      </c>
      <c r="J541">
        <v>55221</v>
      </c>
      <c r="K541">
        <v>0.94640781218747771</v>
      </c>
      <c r="L541">
        <f t="shared" ca="1" si="60"/>
        <v>231.77138300000001</v>
      </c>
      <c r="M541">
        <f t="shared" si="61"/>
        <v>245.44154499999999</v>
      </c>
      <c r="N541">
        <v>55221</v>
      </c>
      <c r="O541">
        <f t="shared" ca="1" si="59"/>
        <v>0.94430379746835458</v>
      </c>
    </row>
    <row r="542" spans="1:15" x14ac:dyDescent="0.2">
      <c r="A542" t="str">
        <f ca="1">IFERROR(__xludf.DUMMYFUNCTION("""COMPUTED_VALUE"""),"km")</f>
        <v>km</v>
      </c>
      <c r="B542" t="str">
        <f ca="1">IFERROR(__xludf.DUMMYFUNCTION("""COMPUTED_VALUE"""),"Model S 85")</f>
        <v>Model S 85</v>
      </c>
      <c r="C542">
        <f ca="1">IFERROR(__xludf.DUMMYFUNCTION("""COMPUTED_VALUE"""),388)</f>
        <v>388</v>
      </c>
      <c r="D542">
        <f ca="1">IFERROR(__xludf.DUMMYFUNCTION("""COMPUTED_VALUE"""),48316)</f>
        <v>48316</v>
      </c>
      <c r="E542">
        <f ca="1">IFERROR(__xludf.DUMMYFUNCTION("""COMPUTED_VALUE"""),373)</f>
        <v>373</v>
      </c>
      <c r="F542">
        <v>395</v>
      </c>
      <c r="G542">
        <v>0.94430379746835447</v>
      </c>
      <c r="H542">
        <v>30022</v>
      </c>
      <c r="I542">
        <v>48316</v>
      </c>
      <c r="J542">
        <v>30022</v>
      </c>
      <c r="K542">
        <v>0.96901648341147806</v>
      </c>
      <c r="L542">
        <f t="shared" ca="1" si="60"/>
        <v>231.77138300000001</v>
      </c>
      <c r="M542">
        <f t="shared" si="61"/>
        <v>245.44154499999999</v>
      </c>
      <c r="N542">
        <v>30022</v>
      </c>
      <c r="O542">
        <f t="shared" ca="1" si="59"/>
        <v>0.94430379746835458</v>
      </c>
    </row>
    <row r="543" spans="1:15" x14ac:dyDescent="0.2">
      <c r="A543" t="str">
        <f ca="1">IFERROR(__xludf.DUMMYFUNCTION("""COMPUTED_VALUE"""),"km")</f>
        <v>km</v>
      </c>
      <c r="B543" t="str">
        <f ca="1">IFERROR(__xludf.DUMMYFUNCTION("""COMPUTED_VALUE"""),"Model S P85")</f>
        <v>Model S P85</v>
      </c>
      <c r="C543">
        <f ca="1">IFERROR(__xludf.DUMMYFUNCTION("""COMPUTED_VALUE"""),396)</f>
        <v>396</v>
      </c>
      <c r="D543">
        <f ca="1">IFERROR(__xludf.DUMMYFUNCTION("""COMPUTED_VALUE"""),52500)</f>
        <v>52500</v>
      </c>
      <c r="E543">
        <f ca="1">IFERROR(__xludf.DUMMYFUNCTION("""COMPUTED_VALUE"""),373)</f>
        <v>373</v>
      </c>
      <c r="F543">
        <v>395</v>
      </c>
      <c r="G543">
        <v>0.94430379746835447</v>
      </c>
      <c r="H543">
        <v>32622</v>
      </c>
      <c r="I543">
        <v>52500</v>
      </c>
      <c r="J543">
        <v>32622</v>
      </c>
      <c r="K543">
        <v>0.96653762303016721</v>
      </c>
      <c r="L543">
        <f t="shared" ca="1" si="60"/>
        <v>231.77138300000001</v>
      </c>
      <c r="M543">
        <f t="shared" si="61"/>
        <v>245.44154499999999</v>
      </c>
      <c r="N543">
        <v>32622</v>
      </c>
      <c r="O543">
        <f t="shared" ca="1" si="59"/>
        <v>0.94430379746835458</v>
      </c>
    </row>
    <row r="544" spans="1:15" x14ac:dyDescent="0.2">
      <c r="A544" t="str">
        <f ca="1">IFERROR(__xludf.DUMMYFUNCTION("""COMPUTED_VALUE"""),"km")</f>
        <v>km</v>
      </c>
      <c r="B544" t="str">
        <f ca="1">IFERROR(__xludf.DUMMYFUNCTION("""COMPUTED_VALUE"""),"Model S P85")</f>
        <v>Model S P85</v>
      </c>
      <c r="D544">
        <f ca="1">IFERROR(__xludf.DUMMYFUNCTION("""COMPUTED_VALUE"""),40500)</f>
        <v>40500</v>
      </c>
      <c r="E544">
        <f ca="1">IFERROR(__xludf.DUMMYFUNCTION("""COMPUTED_VALUE"""),373)</f>
        <v>373</v>
      </c>
      <c r="F544">
        <v>395</v>
      </c>
      <c r="G544">
        <v>0.94430379746835447</v>
      </c>
      <c r="H544">
        <v>25166</v>
      </c>
      <c r="I544">
        <v>40500</v>
      </c>
      <c r="J544">
        <v>25166</v>
      </c>
      <c r="K544">
        <v>0.97373569753705191</v>
      </c>
      <c r="L544">
        <f t="shared" ca="1" si="60"/>
        <v>231.77138300000001</v>
      </c>
      <c r="M544">
        <f t="shared" si="61"/>
        <v>245.44154499999999</v>
      </c>
      <c r="N544">
        <v>25166</v>
      </c>
      <c r="O544">
        <f t="shared" ca="1" si="59"/>
        <v>0.94430379746835458</v>
      </c>
    </row>
    <row r="545" spans="1:15" x14ac:dyDescent="0.2">
      <c r="A545" t="str">
        <f ca="1">IFERROR(__xludf.DUMMYFUNCTION("""COMPUTED_VALUE"""),"km")</f>
        <v>km</v>
      </c>
      <c r="B545" t="str">
        <f ca="1">IFERROR(__xludf.DUMMYFUNCTION("""COMPUTED_VALUE"""),"Model S P85")</f>
        <v>Model S P85</v>
      </c>
      <c r="D545">
        <f ca="1">IFERROR(__xludf.DUMMYFUNCTION("""COMPUTED_VALUE"""),71050)</f>
        <v>71050</v>
      </c>
      <c r="E545">
        <f ca="1">IFERROR(__xludf.DUMMYFUNCTION("""COMPUTED_VALUE"""),373)</f>
        <v>373</v>
      </c>
      <c r="F545">
        <v>395</v>
      </c>
      <c r="G545">
        <v>0.94430379746835447</v>
      </c>
      <c r="H545">
        <v>44148</v>
      </c>
      <c r="I545">
        <v>71050</v>
      </c>
      <c r="J545">
        <v>44148</v>
      </c>
      <c r="K545">
        <v>0.95595015598221567</v>
      </c>
      <c r="L545">
        <f t="shared" ca="1" si="60"/>
        <v>231.77138300000001</v>
      </c>
      <c r="M545">
        <f t="shared" si="61"/>
        <v>245.44154499999999</v>
      </c>
      <c r="N545">
        <v>44148</v>
      </c>
      <c r="O545">
        <f t="shared" ca="1" si="59"/>
        <v>0.94430379746835458</v>
      </c>
    </row>
    <row r="546" spans="1:15" x14ac:dyDescent="0.2">
      <c r="A546" t="str">
        <f ca="1">IFERROR(__xludf.DUMMYFUNCTION("""COMPUTED_VALUE"""),"km")</f>
        <v>km</v>
      </c>
      <c r="B546" t="str">
        <f ca="1">IFERROR(__xludf.DUMMYFUNCTION("""COMPUTED_VALUE"""),"Model S 85")</f>
        <v>Model S 85</v>
      </c>
      <c r="D546">
        <f ca="1">IFERROR(__xludf.DUMMYFUNCTION("""COMPUTED_VALUE"""),68018)</f>
        <v>68018</v>
      </c>
      <c r="E546">
        <f ca="1">IFERROR(__xludf.DUMMYFUNCTION("""COMPUTED_VALUE"""),373)</f>
        <v>373</v>
      </c>
      <c r="F546">
        <v>395</v>
      </c>
      <c r="G546">
        <v>0.94430379746835447</v>
      </c>
      <c r="H546">
        <v>42264</v>
      </c>
      <c r="I546">
        <v>68018</v>
      </c>
      <c r="J546">
        <v>42264</v>
      </c>
      <c r="K546">
        <v>0.95763541384622619</v>
      </c>
      <c r="L546">
        <f t="shared" ca="1" si="60"/>
        <v>231.77138300000001</v>
      </c>
      <c r="M546">
        <f t="shared" si="61"/>
        <v>245.44154499999999</v>
      </c>
      <c r="N546">
        <v>42264</v>
      </c>
      <c r="O546">
        <f t="shared" ca="1" si="59"/>
        <v>0.94430379746835458</v>
      </c>
    </row>
    <row r="547" spans="1:15" x14ac:dyDescent="0.2">
      <c r="A547" t="str">
        <f ca="1">IFERROR(__xludf.DUMMYFUNCTION("""COMPUTED_VALUE"""),"km")</f>
        <v>km</v>
      </c>
      <c r="B547" t="str">
        <f ca="1">IFERROR(__xludf.DUMMYFUNCTION("""COMPUTED_VALUE"""),"Model S 85")</f>
        <v>Model S 85</v>
      </c>
      <c r="D547">
        <f ca="1">IFERROR(__xludf.DUMMYFUNCTION("""COMPUTED_VALUE"""),27000)</f>
        <v>27000</v>
      </c>
      <c r="E547">
        <f ca="1">IFERROR(__xludf.DUMMYFUNCTION("""COMPUTED_VALUE"""),373)</f>
        <v>373</v>
      </c>
      <c r="F547">
        <v>395</v>
      </c>
      <c r="G547">
        <v>0.94430379746835447</v>
      </c>
      <c r="H547">
        <v>16777</v>
      </c>
      <c r="I547">
        <v>27000</v>
      </c>
      <c r="J547">
        <v>16777</v>
      </c>
      <c r="K547">
        <v>0.98215586999584537</v>
      </c>
      <c r="L547">
        <f t="shared" ca="1" si="60"/>
        <v>231.77138300000001</v>
      </c>
      <c r="M547">
        <f t="shared" si="61"/>
        <v>245.44154499999999</v>
      </c>
      <c r="N547">
        <v>16777</v>
      </c>
      <c r="O547">
        <f t="shared" ca="1" si="59"/>
        <v>0.94430379746835458</v>
      </c>
    </row>
    <row r="548" spans="1:15" x14ac:dyDescent="0.2">
      <c r="A548" t="str">
        <f ca="1">IFERROR(__xludf.DUMMYFUNCTION("""COMPUTED_VALUE"""),"km")</f>
        <v>km</v>
      </c>
      <c r="B548" t="str">
        <f ca="1">IFERROR(__xludf.DUMMYFUNCTION("""COMPUTED_VALUE"""),"Model S P85")</f>
        <v>Model S P85</v>
      </c>
      <c r="D548">
        <f ca="1">IFERROR(__xludf.DUMMYFUNCTION("""COMPUTED_VALUE"""),49000)</f>
        <v>49000</v>
      </c>
      <c r="E548">
        <f ca="1">IFERROR(__xludf.DUMMYFUNCTION("""COMPUTED_VALUE"""),373)</f>
        <v>373</v>
      </c>
      <c r="F548">
        <v>395</v>
      </c>
      <c r="G548">
        <v>0.94430379746835447</v>
      </c>
      <c r="H548">
        <v>30447</v>
      </c>
      <c r="I548">
        <v>49000</v>
      </c>
      <c r="J548">
        <v>30447</v>
      </c>
      <c r="K548">
        <v>0.96860897248437827</v>
      </c>
      <c r="L548">
        <f t="shared" ca="1" si="60"/>
        <v>231.77138300000001</v>
      </c>
      <c r="M548">
        <f t="shared" si="61"/>
        <v>245.44154499999999</v>
      </c>
      <c r="N548">
        <v>30447</v>
      </c>
      <c r="O548">
        <f t="shared" ca="1" si="59"/>
        <v>0.94430379746835458</v>
      </c>
    </row>
    <row r="549" spans="1:15" x14ac:dyDescent="0.2">
      <c r="A549" t="str">
        <f ca="1">IFERROR(__xludf.DUMMYFUNCTION("""COMPUTED_VALUE"""),"km")</f>
        <v>km</v>
      </c>
      <c r="B549" t="str">
        <f ca="1">IFERROR(__xludf.DUMMYFUNCTION("""COMPUTED_VALUE"""),"Unspecified 85 kWh")</f>
        <v>Unspecified 85 kWh</v>
      </c>
      <c r="D549">
        <f ca="1">IFERROR(__xludf.DUMMYFUNCTION("""COMPUTED_VALUE"""),65065)</f>
        <v>65065</v>
      </c>
      <c r="E549">
        <f ca="1">IFERROR(__xludf.DUMMYFUNCTION("""COMPUTED_VALUE"""),373)</f>
        <v>373</v>
      </c>
      <c r="F549">
        <v>395</v>
      </c>
      <c r="G549">
        <v>0.94430379746835447</v>
      </c>
      <c r="H549">
        <v>40430</v>
      </c>
      <c r="I549">
        <v>65065</v>
      </c>
      <c r="J549">
        <v>40430</v>
      </c>
      <c r="K549">
        <v>0.95929384551144226</v>
      </c>
      <c r="L549">
        <f t="shared" ca="1" si="60"/>
        <v>231.77138300000001</v>
      </c>
      <c r="M549">
        <f t="shared" si="61"/>
        <v>245.44154499999999</v>
      </c>
      <c r="N549">
        <v>40430</v>
      </c>
      <c r="O549">
        <f t="shared" ca="1" si="59"/>
        <v>0.94430379746835458</v>
      </c>
    </row>
    <row r="550" spans="1:15" x14ac:dyDescent="0.2">
      <c r="A550" t="str">
        <f ca="1">IFERROR(__xludf.DUMMYFUNCTION("""COMPUTED_VALUE"""),"km")</f>
        <v>km</v>
      </c>
      <c r="B550" t="str">
        <f ca="1">IFERROR(__xludf.DUMMYFUNCTION("""COMPUTED_VALUE"""),"Model S P85")</f>
        <v>Model S P85</v>
      </c>
      <c r="D550">
        <f ca="1">IFERROR(__xludf.DUMMYFUNCTION("""COMPUTED_VALUE"""),61500)</f>
        <v>61500</v>
      </c>
      <c r="E550">
        <f ca="1">IFERROR(__xludf.DUMMYFUNCTION("""COMPUTED_VALUE"""),373)</f>
        <v>373</v>
      </c>
      <c r="F550">
        <v>395</v>
      </c>
      <c r="G550">
        <v>0.94430379746835447</v>
      </c>
      <c r="H550">
        <v>38214</v>
      </c>
      <c r="I550">
        <v>61500</v>
      </c>
      <c r="J550">
        <v>38214</v>
      </c>
      <c r="K550">
        <v>0.96131836211449007</v>
      </c>
      <c r="L550">
        <f t="shared" ca="1" si="60"/>
        <v>231.77138300000001</v>
      </c>
      <c r="M550">
        <f t="shared" si="61"/>
        <v>245.44154499999999</v>
      </c>
      <c r="N550">
        <v>38214</v>
      </c>
      <c r="O550">
        <f t="shared" ca="1" si="59"/>
        <v>0.94430379746835458</v>
      </c>
    </row>
    <row r="551" spans="1:15" x14ac:dyDescent="0.2">
      <c r="A551" t="str">
        <f ca="1">IFERROR(__xludf.DUMMYFUNCTION("""COMPUTED_VALUE"""),"km")</f>
        <v>km</v>
      </c>
      <c r="B551" t="str">
        <f ca="1">IFERROR(__xludf.DUMMYFUNCTION("""COMPUTED_VALUE"""),"Model S 70D")</f>
        <v>Model S 70D</v>
      </c>
      <c r="C551">
        <f ca="1">IFERROR(__xludf.DUMMYFUNCTION("""COMPUTED_VALUE"""),353)</f>
        <v>353</v>
      </c>
      <c r="D551">
        <f ca="1">IFERROR(__xludf.DUMMYFUNCTION("""COMPUTED_VALUE"""),55355)</f>
        <v>55355</v>
      </c>
      <c r="E551">
        <f ca="1">IFERROR(__xludf.DUMMYFUNCTION("""COMPUTED_VALUE"""),340)</f>
        <v>340</v>
      </c>
      <c r="F551">
        <v>360</v>
      </c>
      <c r="G551">
        <v>0.94444444444444442</v>
      </c>
      <c r="H551">
        <v>34396</v>
      </c>
      <c r="I551">
        <v>55355</v>
      </c>
      <c r="J551">
        <v>34396</v>
      </c>
      <c r="K551">
        <v>0.9648652207156948</v>
      </c>
      <c r="L551">
        <f t="shared" ca="1" si="60"/>
        <v>211.26614000000001</v>
      </c>
      <c r="M551">
        <f t="shared" si="61"/>
        <v>223.69355999999999</v>
      </c>
      <c r="N551">
        <v>34396</v>
      </c>
      <c r="O551">
        <f t="shared" ca="1" si="59"/>
        <v>0.94444444444444453</v>
      </c>
    </row>
    <row r="552" spans="1:15" x14ac:dyDescent="0.2">
      <c r="A552" t="str">
        <f ca="1">IFERROR(__xludf.DUMMYFUNCTION("""COMPUTED_VALUE"""),"km")</f>
        <v>km</v>
      </c>
      <c r="B552" t="str">
        <f ca="1">IFERROR(__xludf.DUMMYFUNCTION("""COMPUTED_VALUE"""),"Model S 100D")</f>
        <v>Model S 100D</v>
      </c>
      <c r="C552">
        <f ca="1">IFERROR(__xludf.DUMMYFUNCTION("""COMPUTED_VALUE"""),505)</f>
        <v>505</v>
      </c>
      <c r="D552">
        <f ca="1">IFERROR(__xludf.DUMMYFUNCTION("""COMPUTED_VALUE"""),78000)</f>
        <v>78000</v>
      </c>
      <c r="E552">
        <f ca="1">IFERROR(__xludf.DUMMYFUNCTION("""COMPUTED_VALUE"""),482)</f>
        <v>482</v>
      </c>
      <c r="F552">
        <v>510</v>
      </c>
      <c r="G552">
        <v>0.94509803921568625</v>
      </c>
      <c r="H552">
        <v>48467</v>
      </c>
      <c r="I552">
        <v>78000</v>
      </c>
      <c r="J552">
        <v>48467</v>
      </c>
      <c r="K552">
        <v>0.95215456920129615</v>
      </c>
      <c r="L552">
        <f t="shared" ca="1" si="60"/>
        <v>299.50082200000003</v>
      </c>
      <c r="M552">
        <f t="shared" si="61"/>
        <v>316.89920999999998</v>
      </c>
      <c r="N552">
        <v>48467</v>
      </c>
      <c r="O552">
        <f t="shared" ca="1" si="59"/>
        <v>0.94509803921568647</v>
      </c>
    </row>
    <row r="553" spans="1:15" x14ac:dyDescent="0.2">
      <c r="A553" t="str">
        <f ca="1">IFERROR(__xludf.DUMMYFUNCTION("""COMPUTED_VALUE"""),"km")</f>
        <v>km</v>
      </c>
      <c r="B553" t="str">
        <f ca="1">IFERROR(__xludf.DUMMYFUNCTION("""COMPUTED_VALUE"""),"Model S 100D")</f>
        <v>Model S 100D</v>
      </c>
      <c r="D553">
        <f ca="1">IFERROR(__xludf.DUMMYFUNCTION("""COMPUTED_VALUE"""),67000)</f>
        <v>67000</v>
      </c>
      <c r="E553">
        <f ca="1">IFERROR(__xludf.DUMMYFUNCTION("""COMPUTED_VALUE"""),482)</f>
        <v>482</v>
      </c>
      <c r="F553">
        <v>510</v>
      </c>
      <c r="G553">
        <v>0.94509803921568625</v>
      </c>
      <c r="H553">
        <v>41632</v>
      </c>
      <c r="I553">
        <v>67000</v>
      </c>
      <c r="J553">
        <v>41632</v>
      </c>
      <c r="K553">
        <v>0.95820523073384611</v>
      </c>
      <c r="L553">
        <f t="shared" ca="1" si="60"/>
        <v>299.50082200000003</v>
      </c>
      <c r="M553">
        <f t="shared" si="61"/>
        <v>316.89920999999998</v>
      </c>
      <c r="N553">
        <v>41632</v>
      </c>
      <c r="O553">
        <f t="shared" ca="1" si="59"/>
        <v>0.94509803921568647</v>
      </c>
    </row>
    <row r="554" spans="1:15" x14ac:dyDescent="0.2">
      <c r="A554" t="str">
        <f ca="1">IFERROR(__xludf.DUMMYFUNCTION("""COMPUTED_VALUE"""),"km")</f>
        <v>km</v>
      </c>
      <c r="B554" t="str">
        <f ca="1">IFERROR(__xludf.DUMMYFUNCTION("""COMPUTED_VALUE"""),"Model S P85D")</f>
        <v>Model S P85D</v>
      </c>
      <c r="C554">
        <f ca="1">IFERROR(__xludf.DUMMYFUNCTION("""COMPUTED_VALUE"""),406)</f>
        <v>406</v>
      </c>
      <c r="D554">
        <f ca="1">IFERROR(__xludf.DUMMYFUNCTION("""COMPUTED_VALUE"""),32540)</f>
        <v>32540</v>
      </c>
      <c r="E554">
        <f ca="1">IFERROR(__xludf.DUMMYFUNCTION("""COMPUTED_VALUE"""),381)</f>
        <v>381</v>
      </c>
      <c r="F554">
        <v>403</v>
      </c>
      <c r="G554">
        <v>0.94540942928039706</v>
      </c>
      <c r="H554">
        <v>20219</v>
      </c>
      <c r="I554">
        <v>32540</v>
      </c>
      <c r="J554">
        <v>20219</v>
      </c>
      <c r="K554">
        <v>0.97865950039331451</v>
      </c>
      <c r="L554">
        <f t="shared" ca="1" si="60"/>
        <v>236.74235100000001</v>
      </c>
      <c r="M554">
        <f t="shared" si="61"/>
        <v>250.41251299999999</v>
      </c>
      <c r="N554">
        <v>20219</v>
      </c>
      <c r="O554">
        <f t="shared" ca="1" si="59"/>
        <v>0.94540942928039706</v>
      </c>
    </row>
    <row r="555" spans="1:15" x14ac:dyDescent="0.2">
      <c r="A555" t="str">
        <f ca="1">IFERROR(__xludf.DUMMYFUNCTION("""COMPUTED_VALUE"""),"km")</f>
        <v>km</v>
      </c>
      <c r="B555" t="str">
        <f ca="1">IFERROR(__xludf.DUMMYFUNCTION("""COMPUTED_VALUE"""),"Model S P85D")</f>
        <v>Model S P85D</v>
      </c>
      <c r="D555">
        <f ca="1">IFERROR(__xludf.DUMMYFUNCTION("""COMPUTED_VALUE"""),27000)</f>
        <v>27000</v>
      </c>
      <c r="E555">
        <f ca="1">IFERROR(__xludf.DUMMYFUNCTION("""COMPUTED_VALUE"""),381)</f>
        <v>381</v>
      </c>
      <c r="F555">
        <v>403</v>
      </c>
      <c r="G555">
        <v>0.94540942928039706</v>
      </c>
      <c r="H555">
        <v>16777</v>
      </c>
      <c r="I555">
        <v>27000</v>
      </c>
      <c r="J555">
        <v>16777</v>
      </c>
      <c r="K555">
        <v>0.98215586999584537</v>
      </c>
      <c r="L555">
        <f t="shared" ca="1" si="60"/>
        <v>236.74235100000001</v>
      </c>
      <c r="M555">
        <f t="shared" si="61"/>
        <v>250.41251299999999</v>
      </c>
      <c r="N555">
        <v>16777</v>
      </c>
      <c r="O555">
        <f t="shared" ca="1" si="59"/>
        <v>0.94540942928039706</v>
      </c>
    </row>
    <row r="556" spans="1:15" x14ac:dyDescent="0.2">
      <c r="A556" t="str">
        <f ca="1">IFERROR(__xludf.DUMMYFUNCTION("""COMPUTED_VALUE"""),"mi")</f>
        <v>mi</v>
      </c>
      <c r="B556" t="str">
        <f ca="1">IFERROR(__xludf.DUMMYFUNCTION("""COMPUTED_VALUE"""),"Model 3 SR")</f>
        <v>Model 3 SR</v>
      </c>
      <c r="C556">
        <f ca="1">IFERROR(__xludf.DUMMYFUNCTION("""COMPUTED_VALUE"""),220)</f>
        <v>220</v>
      </c>
      <c r="D556">
        <f ca="1">IFERROR(__xludf.DUMMYFUNCTION("""COMPUTED_VALUE"""),7326)</f>
        <v>7326</v>
      </c>
      <c r="E556">
        <f ca="1">IFERROR(__xludf.DUMMYFUNCTION("""COMPUTED_VALUE"""),208)</f>
        <v>208</v>
      </c>
      <c r="F556">
        <v>220</v>
      </c>
      <c r="G556">
        <v>0.94545454545454544</v>
      </c>
      <c r="H556">
        <v>7326</v>
      </c>
      <c r="I556">
        <v>11790</v>
      </c>
      <c r="J556">
        <v>7326</v>
      </c>
      <c r="K556">
        <v>0.99204523300045921</v>
      </c>
      <c r="L556">
        <f ca="1">IFERROR(__xludf.DUMMYFUNCTION("""COMPUTED_VALUE"""),208)</f>
        <v>208</v>
      </c>
      <c r="M556">
        <v>220</v>
      </c>
      <c r="N556">
        <v>7326</v>
      </c>
      <c r="O556">
        <f t="shared" ca="1" si="59"/>
        <v>0.94545454545454544</v>
      </c>
    </row>
    <row r="557" spans="1:15" x14ac:dyDescent="0.2">
      <c r="A557" t="str">
        <f ca="1">IFERROR(__xludf.DUMMYFUNCTION("""COMPUTED_VALUE"""),"mi")</f>
        <v>mi</v>
      </c>
      <c r="B557" t="str">
        <f ca="1">IFERROR(__xludf.DUMMYFUNCTION("""COMPUTED_VALUE"""),"Model 3 SR+")</f>
        <v>Model 3 SR+</v>
      </c>
      <c r="C557">
        <f ca="1">IFERROR(__xludf.DUMMYFUNCTION("""COMPUTED_VALUE"""),240)</f>
        <v>240</v>
      </c>
      <c r="D557">
        <f ca="1">IFERROR(__xludf.DUMMYFUNCTION("""COMPUTED_VALUE"""),11000)</f>
        <v>11000</v>
      </c>
      <c r="E557">
        <f ca="1">IFERROR(__xludf.DUMMYFUNCTION("""COMPUTED_VALUE"""),227)</f>
        <v>227</v>
      </c>
      <c r="F557">
        <v>240</v>
      </c>
      <c r="G557">
        <v>0.9458333333333333</v>
      </c>
      <c r="H557">
        <v>11000</v>
      </c>
      <c r="I557">
        <v>17703</v>
      </c>
      <c r="J557">
        <v>11000</v>
      </c>
      <c r="K557">
        <v>0.98815041877675269</v>
      </c>
      <c r="L557">
        <f ca="1">IFERROR(__xludf.DUMMYFUNCTION("""COMPUTED_VALUE"""),227)</f>
        <v>227</v>
      </c>
      <c r="M557">
        <v>240</v>
      </c>
      <c r="N557">
        <v>11000</v>
      </c>
      <c r="O557">
        <f t="shared" ca="1" si="59"/>
        <v>0.9458333333333333</v>
      </c>
    </row>
    <row r="558" spans="1:15" x14ac:dyDescent="0.2">
      <c r="A558" t="str">
        <f ca="1">IFERROR(__xludf.DUMMYFUNCTION("""COMPUTED_VALUE"""),"km")</f>
        <v>km</v>
      </c>
      <c r="B558" t="str">
        <f ca="1">IFERROR(__xludf.DUMMYFUNCTION("""COMPUTED_VALUE"""),"Model S 85D")</f>
        <v>Model S 85D</v>
      </c>
      <c r="D558">
        <f ca="1">IFERROR(__xludf.DUMMYFUNCTION("""COMPUTED_VALUE"""),4761)</f>
        <v>4761</v>
      </c>
      <c r="E558">
        <f ca="1">IFERROR(__xludf.DUMMYFUNCTION("""COMPUTED_VALUE"""),402)</f>
        <v>402</v>
      </c>
      <c r="F558">
        <v>425</v>
      </c>
      <c r="G558">
        <v>0.94588235294117651</v>
      </c>
      <c r="H558">
        <v>2958</v>
      </c>
      <c r="I558">
        <v>4761</v>
      </c>
      <c r="J558">
        <v>2958</v>
      </c>
      <c r="K558">
        <v>0.99675759992679236</v>
      </c>
      <c r="L558">
        <f t="shared" ref="L558:L593" ca="1" si="62">E558*0.621371</f>
        <v>249.79114200000001</v>
      </c>
      <c r="M558">
        <f t="shared" ref="M558:M593" si="63">F558*0.621371</f>
        <v>264.08267499999999</v>
      </c>
      <c r="N558">
        <v>2958</v>
      </c>
      <c r="O558">
        <f t="shared" ca="1" si="59"/>
        <v>0.94588235294117651</v>
      </c>
    </row>
    <row r="559" spans="1:15" x14ac:dyDescent="0.2">
      <c r="A559" t="str">
        <f ca="1">IFERROR(__xludf.DUMMYFUNCTION("""COMPUTED_VALUE"""),"km")</f>
        <v>km</v>
      </c>
      <c r="B559" t="str">
        <f ca="1">IFERROR(__xludf.DUMMYFUNCTION("""COMPUTED_VALUE"""),"Model 3 LR AWD")</f>
        <v>Model 3 LR AWD</v>
      </c>
      <c r="C559">
        <f ca="1">IFERROR(__xludf.DUMMYFUNCTION("""COMPUTED_VALUE"""),497)</f>
        <v>497</v>
      </c>
      <c r="D559">
        <f ca="1">IFERROR(__xludf.DUMMYFUNCTION("""COMPUTED_VALUE"""),32199)</f>
        <v>32199</v>
      </c>
      <c r="E559">
        <f ca="1">IFERROR(__xludf.DUMMYFUNCTION("""COMPUTED_VALUE"""),472)</f>
        <v>472</v>
      </c>
      <c r="F559">
        <v>499</v>
      </c>
      <c r="G559">
        <v>0.94589178356713421</v>
      </c>
      <c r="H559">
        <v>20008</v>
      </c>
      <c r="I559">
        <v>32199</v>
      </c>
      <c r="J559">
        <v>20008</v>
      </c>
      <c r="K559">
        <v>0.97887306781614725</v>
      </c>
      <c r="L559">
        <f t="shared" ca="1" si="62"/>
        <v>293.28711199999998</v>
      </c>
      <c r="M559">
        <f t="shared" si="63"/>
        <v>310.06412899999998</v>
      </c>
      <c r="N559">
        <v>20008</v>
      </c>
      <c r="O559">
        <f t="shared" ca="1" si="59"/>
        <v>0.94589178356713421</v>
      </c>
    </row>
    <row r="560" spans="1:15" x14ac:dyDescent="0.2">
      <c r="A560" t="str">
        <f ca="1">IFERROR(__xludf.DUMMYFUNCTION("""COMPUTED_VALUE"""),"km")</f>
        <v>km</v>
      </c>
      <c r="B560" t="str">
        <f ca="1">IFERROR(__xludf.DUMMYFUNCTION("""COMPUTED_VALUE"""),"Model 3 LR AWD")</f>
        <v>Model 3 LR AWD</v>
      </c>
      <c r="C560">
        <f ca="1">IFERROR(__xludf.DUMMYFUNCTION("""COMPUTED_VALUE"""),499)</f>
        <v>499</v>
      </c>
      <c r="D560">
        <f ca="1">IFERROR(__xludf.DUMMYFUNCTION("""COMPUTED_VALUE"""),28750)</f>
        <v>28750</v>
      </c>
      <c r="E560">
        <f ca="1">IFERROR(__xludf.DUMMYFUNCTION("""COMPUTED_VALUE"""),472)</f>
        <v>472</v>
      </c>
      <c r="F560">
        <v>499</v>
      </c>
      <c r="G560">
        <v>0.94589178356713421</v>
      </c>
      <c r="H560">
        <v>17864</v>
      </c>
      <c r="I560">
        <v>28750</v>
      </c>
      <c r="J560">
        <v>17864</v>
      </c>
      <c r="K560">
        <v>0.98104528495342358</v>
      </c>
      <c r="L560">
        <f t="shared" ca="1" si="62"/>
        <v>293.28711199999998</v>
      </c>
      <c r="M560">
        <f t="shared" si="63"/>
        <v>310.06412899999998</v>
      </c>
      <c r="N560">
        <v>17864</v>
      </c>
      <c r="O560">
        <f t="shared" ca="1" si="59"/>
        <v>0.94589178356713421</v>
      </c>
    </row>
    <row r="561" spans="1:15" x14ac:dyDescent="0.2">
      <c r="A561" t="str">
        <f ca="1">IFERROR(__xludf.DUMMYFUNCTION("""COMPUTED_VALUE"""),"km")</f>
        <v>km</v>
      </c>
      <c r="B561" t="str">
        <f ca="1">IFERROR(__xludf.DUMMYFUNCTION("""COMPUTED_VALUE"""),"Model 3 LR AWD")</f>
        <v>Model 3 LR AWD</v>
      </c>
      <c r="C561">
        <f ca="1">IFERROR(__xludf.DUMMYFUNCTION("""COMPUTED_VALUE"""),499)</f>
        <v>499</v>
      </c>
      <c r="D561">
        <f ca="1">IFERROR(__xludf.DUMMYFUNCTION("""COMPUTED_VALUE"""),24500)</f>
        <v>24500</v>
      </c>
      <c r="E561">
        <f ca="1">IFERROR(__xludf.DUMMYFUNCTION("""COMPUTED_VALUE"""),472)</f>
        <v>472</v>
      </c>
      <c r="F561">
        <v>499</v>
      </c>
      <c r="G561">
        <v>0.94589178356713421</v>
      </c>
      <c r="H561">
        <v>15224</v>
      </c>
      <c r="I561">
        <v>24500</v>
      </c>
      <c r="J561">
        <v>15224</v>
      </c>
      <c r="K561">
        <v>0.98375222007334973</v>
      </c>
      <c r="L561">
        <f t="shared" ca="1" si="62"/>
        <v>293.28711199999998</v>
      </c>
      <c r="M561">
        <f t="shared" si="63"/>
        <v>310.06412899999998</v>
      </c>
      <c r="N561">
        <v>15224</v>
      </c>
      <c r="O561">
        <f t="shared" ca="1" si="59"/>
        <v>0.94589178356713421</v>
      </c>
    </row>
    <row r="562" spans="1:15" x14ac:dyDescent="0.2">
      <c r="A562" t="str">
        <f ca="1">IFERROR(__xludf.DUMMYFUNCTION("""COMPUTED_VALUE"""),"km")</f>
        <v>km</v>
      </c>
      <c r="B562" t="str">
        <f ca="1">IFERROR(__xludf.DUMMYFUNCTION("""COMPUTED_VALUE"""),"Model S P100D")</f>
        <v>Model S P100D</v>
      </c>
      <c r="D562">
        <f ca="1">IFERROR(__xludf.DUMMYFUNCTION("""COMPUTED_VALUE"""),50382)</f>
        <v>50382</v>
      </c>
      <c r="E562">
        <f ca="1">IFERROR(__xludf.DUMMYFUNCTION("""COMPUTED_VALUE"""),457)</f>
        <v>457</v>
      </c>
      <c r="F562">
        <v>483</v>
      </c>
      <c r="G562">
        <v>0.94616977225672882</v>
      </c>
      <c r="H562">
        <v>31306</v>
      </c>
      <c r="I562">
        <v>50382</v>
      </c>
      <c r="J562">
        <v>31306</v>
      </c>
      <c r="K562">
        <v>0.96778831136651944</v>
      </c>
      <c r="L562">
        <f t="shared" ca="1" si="62"/>
        <v>283.96654699999999</v>
      </c>
      <c r="M562">
        <f t="shared" si="63"/>
        <v>300.12219299999998</v>
      </c>
      <c r="N562">
        <v>31306</v>
      </c>
      <c r="O562">
        <f t="shared" ca="1" si="59"/>
        <v>0.94616977225672882</v>
      </c>
    </row>
    <row r="563" spans="1:15" x14ac:dyDescent="0.2">
      <c r="A563" t="str">
        <f ca="1">IFERROR(__xludf.DUMMYFUNCTION("""COMPUTED_VALUE"""),"km")</f>
        <v>km</v>
      </c>
      <c r="B563" t="str">
        <f ca="1">IFERROR(__xludf.DUMMYFUNCTION("""COMPUTED_VALUE"""),"Model S 85")</f>
        <v>Model S 85</v>
      </c>
      <c r="C563">
        <f ca="1">IFERROR(__xludf.DUMMYFUNCTION("""COMPUTED_VALUE"""),426)</f>
        <v>426</v>
      </c>
      <c r="D563">
        <f ca="1">IFERROR(__xludf.DUMMYFUNCTION("""COMPUTED_VALUE"""),73623)</f>
        <v>73623</v>
      </c>
      <c r="E563">
        <f ca="1">IFERROR(__xludf.DUMMYFUNCTION("""COMPUTED_VALUE"""),405)</f>
        <v>405</v>
      </c>
      <c r="F563">
        <v>428</v>
      </c>
      <c r="G563">
        <v>0.94626168224299068</v>
      </c>
      <c r="H563">
        <v>45747</v>
      </c>
      <c r="I563">
        <v>73623</v>
      </c>
      <c r="J563">
        <v>45747</v>
      </c>
      <c r="K563">
        <v>0.95453400685220835</v>
      </c>
      <c r="L563">
        <f t="shared" ca="1" si="62"/>
        <v>251.65525500000001</v>
      </c>
      <c r="M563">
        <f t="shared" si="63"/>
        <v>265.94678800000003</v>
      </c>
      <c r="N563">
        <v>45747</v>
      </c>
      <c r="O563">
        <f t="shared" ca="1" si="59"/>
        <v>0.94626168224299056</v>
      </c>
    </row>
    <row r="564" spans="1:15" x14ac:dyDescent="0.2">
      <c r="A564" t="str">
        <f ca="1">IFERROR(__xludf.DUMMYFUNCTION("""COMPUTED_VALUE"""),"km")</f>
        <v>km</v>
      </c>
      <c r="B564" t="str">
        <f ca="1">IFERROR(__xludf.DUMMYFUNCTION("""COMPUTED_VALUE"""),"Model S 90D")</f>
        <v>Model S 90D</v>
      </c>
      <c r="D564">
        <f ca="1">IFERROR(__xludf.DUMMYFUNCTION("""COMPUTED_VALUE"""),423)</f>
        <v>423</v>
      </c>
      <c r="E564">
        <f ca="1">IFERROR(__xludf.DUMMYFUNCTION("""COMPUTED_VALUE"""),423)</f>
        <v>423</v>
      </c>
      <c r="F564">
        <v>447</v>
      </c>
      <c r="G564">
        <v>0.94630872483221473</v>
      </c>
      <c r="H564">
        <v>263</v>
      </c>
      <c r="I564">
        <v>423</v>
      </c>
      <c r="J564">
        <v>263</v>
      </c>
      <c r="K564">
        <v>0.99971027777420152</v>
      </c>
      <c r="L564">
        <f t="shared" ca="1" si="62"/>
        <v>262.83993300000003</v>
      </c>
      <c r="M564">
        <f t="shared" si="63"/>
        <v>277.752837</v>
      </c>
      <c r="N564">
        <v>263</v>
      </c>
      <c r="O564">
        <f t="shared" ca="1" si="59"/>
        <v>0.94630872483221484</v>
      </c>
    </row>
    <row r="565" spans="1:15" x14ac:dyDescent="0.2">
      <c r="A565" t="str">
        <f ca="1">IFERROR(__xludf.DUMMYFUNCTION("""COMPUTED_VALUE"""),"km")</f>
        <v>km</v>
      </c>
      <c r="B565" t="str">
        <f ca="1">IFERROR(__xludf.DUMMYFUNCTION("""COMPUTED_VALUE"""),"Model S 90D")</f>
        <v>Model S 90D</v>
      </c>
      <c r="D565">
        <f ca="1">IFERROR(__xludf.DUMMYFUNCTION("""COMPUTED_VALUE"""),77257)</f>
        <v>77257</v>
      </c>
      <c r="E565">
        <f ca="1">IFERROR(__xludf.DUMMYFUNCTION("""COMPUTED_VALUE"""),423)</f>
        <v>423</v>
      </c>
      <c r="F565">
        <v>447</v>
      </c>
      <c r="G565">
        <v>0.94630872483221473</v>
      </c>
      <c r="H565">
        <v>48005</v>
      </c>
      <c r="I565">
        <v>77257</v>
      </c>
      <c r="J565">
        <v>48005</v>
      </c>
      <c r="K565">
        <v>0.95255584654258918</v>
      </c>
      <c r="L565">
        <f t="shared" ca="1" si="62"/>
        <v>262.83993300000003</v>
      </c>
      <c r="M565">
        <f t="shared" si="63"/>
        <v>277.752837</v>
      </c>
      <c r="N565">
        <v>48005</v>
      </c>
      <c r="O565">
        <f t="shared" ca="1" si="59"/>
        <v>0.94630872483221484</v>
      </c>
    </row>
    <row r="566" spans="1:15" x14ac:dyDescent="0.2">
      <c r="A566" t="str">
        <f ca="1">IFERROR(__xludf.DUMMYFUNCTION("""COMPUTED_VALUE"""),"km")</f>
        <v>km</v>
      </c>
      <c r="B566" t="str">
        <f ca="1">IFERROR(__xludf.DUMMYFUNCTION("""COMPUTED_VALUE"""),"Model S 75")</f>
        <v>Model S 75</v>
      </c>
      <c r="D566">
        <f ca="1">IFERROR(__xludf.DUMMYFUNCTION("""COMPUTED_VALUE"""),355)</f>
        <v>355</v>
      </c>
      <c r="E566">
        <f ca="1">IFERROR(__xludf.DUMMYFUNCTION("""COMPUTED_VALUE"""),355)</f>
        <v>355</v>
      </c>
      <c r="F566">
        <v>375</v>
      </c>
      <c r="G566">
        <v>0.94666666666666666</v>
      </c>
      <c r="H566">
        <v>221</v>
      </c>
      <c r="I566">
        <v>355</v>
      </c>
      <c r="J566">
        <v>221</v>
      </c>
      <c r="K566">
        <v>0.99975683089959211</v>
      </c>
      <c r="L566">
        <f t="shared" ca="1" si="62"/>
        <v>220.58670499999999</v>
      </c>
      <c r="M566">
        <f t="shared" si="63"/>
        <v>233.01412500000001</v>
      </c>
      <c r="N566">
        <v>221</v>
      </c>
      <c r="O566">
        <f t="shared" ca="1" si="59"/>
        <v>0.94666666666666666</v>
      </c>
    </row>
    <row r="567" spans="1:15" x14ac:dyDescent="0.2">
      <c r="A567" t="str">
        <f ca="1">IFERROR(__xludf.DUMMYFUNCTION("""COMPUTED_VALUE"""),"km")</f>
        <v>km</v>
      </c>
      <c r="B567" t="str">
        <f ca="1">IFERROR(__xludf.DUMMYFUNCTION("""COMPUTED_VALUE"""),"Model S 85")</f>
        <v>Model S 85</v>
      </c>
      <c r="D567">
        <f ca="1">IFERROR(__xludf.DUMMYFUNCTION("""COMPUTED_VALUE"""),100000)</f>
        <v>100000</v>
      </c>
      <c r="E567">
        <f ca="1">IFERROR(__xludf.DUMMYFUNCTION("""COMPUTED_VALUE"""),374)</f>
        <v>374</v>
      </c>
      <c r="F567">
        <v>395</v>
      </c>
      <c r="G567">
        <v>0.94683544303797473</v>
      </c>
      <c r="H567">
        <v>62137</v>
      </c>
      <c r="I567">
        <v>100000</v>
      </c>
      <c r="J567">
        <v>62137</v>
      </c>
      <c r="K567">
        <v>0.94076597629758174</v>
      </c>
      <c r="L567">
        <f t="shared" ca="1" si="62"/>
        <v>232.392754</v>
      </c>
      <c r="M567">
        <f t="shared" si="63"/>
        <v>245.44154499999999</v>
      </c>
      <c r="N567">
        <v>62137</v>
      </c>
      <c r="O567">
        <f t="shared" ca="1" si="59"/>
        <v>0.94683544303797473</v>
      </c>
    </row>
    <row r="568" spans="1:15" x14ac:dyDescent="0.2">
      <c r="A568" t="str">
        <f ca="1">IFERROR(__xludf.DUMMYFUNCTION("""COMPUTED_VALUE"""),"km")</f>
        <v>km</v>
      </c>
      <c r="B568" t="str">
        <f ca="1">IFERROR(__xludf.DUMMYFUNCTION("""COMPUTED_VALUE"""),"Model S 85")</f>
        <v>Model S 85</v>
      </c>
      <c r="D568">
        <f ca="1">IFERROR(__xludf.DUMMYFUNCTION("""COMPUTED_VALUE"""),75000)</f>
        <v>75000</v>
      </c>
      <c r="E568">
        <f ca="1">IFERROR(__xludf.DUMMYFUNCTION("""COMPUTED_VALUE"""),374)</f>
        <v>374</v>
      </c>
      <c r="F568">
        <v>395</v>
      </c>
      <c r="G568">
        <v>0.94683544303797473</v>
      </c>
      <c r="H568">
        <v>46603</v>
      </c>
      <c r="I568">
        <v>75000</v>
      </c>
      <c r="J568">
        <v>46603</v>
      </c>
      <c r="K568">
        <v>0.95378141078373002</v>
      </c>
      <c r="L568">
        <f t="shared" ca="1" si="62"/>
        <v>232.392754</v>
      </c>
      <c r="M568">
        <f t="shared" si="63"/>
        <v>245.44154499999999</v>
      </c>
      <c r="N568">
        <v>46603</v>
      </c>
      <c r="O568">
        <f t="shared" ca="1" si="59"/>
        <v>0.94683544303797473</v>
      </c>
    </row>
    <row r="569" spans="1:15" x14ac:dyDescent="0.2">
      <c r="A569" t="str">
        <f ca="1">IFERROR(__xludf.DUMMYFUNCTION("""COMPUTED_VALUE"""),"km")</f>
        <v>km</v>
      </c>
      <c r="B569" t="str">
        <f ca="1">IFERROR(__xludf.DUMMYFUNCTION("""COMPUTED_VALUE"""),"Model S 85")</f>
        <v>Model S 85</v>
      </c>
      <c r="C569">
        <f ca="1">IFERROR(__xludf.DUMMYFUNCTION("""COMPUTED_VALUE"""),399)</f>
        <v>399</v>
      </c>
      <c r="D569">
        <f ca="1">IFERROR(__xludf.DUMMYFUNCTION("""COMPUTED_VALUE"""),196476)</f>
        <v>196476</v>
      </c>
      <c r="E569">
        <f ca="1">IFERROR(__xludf.DUMMYFUNCTION("""COMPUTED_VALUE"""),374)</f>
        <v>374</v>
      </c>
      <c r="F569">
        <v>395</v>
      </c>
      <c r="G569">
        <v>0.94683544303797473</v>
      </c>
      <c r="H569">
        <v>122085</v>
      </c>
      <c r="I569">
        <v>196476</v>
      </c>
      <c r="J569">
        <v>122085</v>
      </c>
      <c r="K569">
        <v>0.90261327980203887</v>
      </c>
      <c r="L569">
        <f t="shared" ca="1" si="62"/>
        <v>232.392754</v>
      </c>
      <c r="M569">
        <f t="shared" si="63"/>
        <v>245.44154499999999</v>
      </c>
      <c r="N569">
        <v>122085</v>
      </c>
      <c r="O569">
        <f t="shared" ca="1" si="59"/>
        <v>0.94683544303797473</v>
      </c>
    </row>
    <row r="570" spans="1:15" x14ac:dyDescent="0.2">
      <c r="A570" t="str">
        <f ca="1">IFERROR(__xludf.DUMMYFUNCTION("""COMPUTED_VALUE"""),"km")</f>
        <v>km</v>
      </c>
      <c r="B570" t="str">
        <f ca="1">IFERROR(__xludf.DUMMYFUNCTION("""COMPUTED_VALUE"""),"Model S 85")</f>
        <v>Model S 85</v>
      </c>
      <c r="D570">
        <f ca="1">IFERROR(__xludf.DUMMYFUNCTION("""COMPUTED_VALUE"""),137120)</f>
        <v>137120</v>
      </c>
      <c r="E570">
        <f ca="1">IFERROR(__xludf.DUMMYFUNCTION("""COMPUTED_VALUE"""),374)</f>
        <v>374</v>
      </c>
      <c r="F570">
        <v>395</v>
      </c>
      <c r="G570">
        <v>0.94683544303797473</v>
      </c>
      <c r="H570">
        <v>85202</v>
      </c>
      <c r="I570">
        <v>137120</v>
      </c>
      <c r="J570">
        <v>85202</v>
      </c>
      <c r="K570">
        <v>0.92376281813372429</v>
      </c>
      <c r="L570">
        <f t="shared" ca="1" si="62"/>
        <v>232.392754</v>
      </c>
      <c r="M570">
        <f t="shared" si="63"/>
        <v>245.44154499999999</v>
      </c>
      <c r="N570">
        <v>85202</v>
      </c>
      <c r="O570">
        <f t="shared" ca="1" si="59"/>
        <v>0.94683544303797473</v>
      </c>
    </row>
    <row r="571" spans="1:15" x14ac:dyDescent="0.2">
      <c r="A571" t="str">
        <f ca="1">IFERROR(__xludf.DUMMYFUNCTION("""COMPUTED_VALUE"""),"km")</f>
        <v>km</v>
      </c>
      <c r="B571" t="str">
        <f ca="1">IFERROR(__xludf.DUMMYFUNCTION("""COMPUTED_VALUE"""),"Model S P85")</f>
        <v>Model S P85</v>
      </c>
      <c r="C571">
        <f ca="1">IFERROR(__xludf.DUMMYFUNCTION("""COMPUTED_VALUE"""),396)</f>
        <v>396</v>
      </c>
      <c r="D571">
        <f ca="1">IFERROR(__xludf.DUMMYFUNCTION("""COMPUTED_VALUE"""),121000)</f>
        <v>121000</v>
      </c>
      <c r="E571">
        <f ca="1">IFERROR(__xludf.DUMMYFUNCTION("""COMPUTED_VALUE"""),374)</f>
        <v>374</v>
      </c>
      <c r="F571">
        <v>395</v>
      </c>
      <c r="G571">
        <v>0.94683544303797473</v>
      </c>
      <c r="H571">
        <v>75186</v>
      </c>
      <c r="I571">
        <v>121000</v>
      </c>
      <c r="J571">
        <v>75186</v>
      </c>
      <c r="K571">
        <v>0.93079986189152042</v>
      </c>
      <c r="L571">
        <f t="shared" ca="1" si="62"/>
        <v>232.392754</v>
      </c>
      <c r="M571">
        <f t="shared" si="63"/>
        <v>245.44154499999999</v>
      </c>
      <c r="N571">
        <v>75186</v>
      </c>
      <c r="O571">
        <f t="shared" ca="1" si="59"/>
        <v>0.94683544303797473</v>
      </c>
    </row>
    <row r="572" spans="1:15" x14ac:dyDescent="0.2">
      <c r="A572" t="str">
        <f ca="1">IFERROR(__xludf.DUMMYFUNCTION("""COMPUTED_VALUE"""),"km")</f>
        <v>km</v>
      </c>
      <c r="B572" t="str">
        <f ca="1">IFERROR(__xludf.DUMMYFUNCTION("""COMPUTED_VALUE"""),"Model S P85")</f>
        <v>Model S P85</v>
      </c>
      <c r="C572">
        <f ca="1">IFERROR(__xludf.DUMMYFUNCTION("""COMPUTED_VALUE"""),396)</f>
        <v>396</v>
      </c>
      <c r="D572">
        <f ca="1">IFERROR(__xludf.DUMMYFUNCTION("""COMPUTED_VALUE"""),98000)</f>
        <v>98000</v>
      </c>
      <c r="E572">
        <f ca="1">IFERROR(__xludf.DUMMYFUNCTION("""COMPUTED_VALUE"""),374)</f>
        <v>374</v>
      </c>
      <c r="F572">
        <v>395</v>
      </c>
      <c r="G572">
        <v>0.94683544303797473</v>
      </c>
      <c r="H572">
        <v>60894</v>
      </c>
      <c r="I572">
        <v>98000</v>
      </c>
      <c r="J572">
        <v>60894</v>
      </c>
      <c r="K572">
        <v>0.94176157121469062</v>
      </c>
      <c r="L572">
        <f t="shared" ca="1" si="62"/>
        <v>232.392754</v>
      </c>
      <c r="M572">
        <f t="shared" si="63"/>
        <v>245.44154499999999</v>
      </c>
      <c r="N572">
        <v>60894</v>
      </c>
      <c r="O572">
        <f t="shared" ca="1" si="59"/>
        <v>0.94683544303797473</v>
      </c>
    </row>
    <row r="573" spans="1:15" x14ac:dyDescent="0.2">
      <c r="A573" t="str">
        <f ca="1">IFERROR(__xludf.DUMMYFUNCTION("""COMPUTED_VALUE"""),"km")</f>
        <v>km</v>
      </c>
      <c r="B573" t="str">
        <f ca="1">IFERROR(__xludf.DUMMYFUNCTION("""COMPUTED_VALUE"""),"Model S 85")</f>
        <v>Model S 85</v>
      </c>
      <c r="C573">
        <f ca="1">IFERROR(__xludf.DUMMYFUNCTION("""COMPUTED_VALUE"""),399)</f>
        <v>399</v>
      </c>
      <c r="D573">
        <f ca="1">IFERROR(__xludf.DUMMYFUNCTION("""COMPUTED_VALUE"""),127174)</f>
        <v>127174</v>
      </c>
      <c r="E573">
        <f ca="1">IFERROR(__xludf.DUMMYFUNCTION("""COMPUTED_VALUE"""),374)</f>
        <v>374</v>
      </c>
      <c r="F573">
        <v>395</v>
      </c>
      <c r="G573">
        <v>0.94683544303797473</v>
      </c>
      <c r="H573">
        <v>79022</v>
      </c>
      <c r="I573">
        <v>127174</v>
      </c>
      <c r="J573">
        <v>79022</v>
      </c>
      <c r="K573">
        <v>0.92804108674942021</v>
      </c>
      <c r="L573">
        <f t="shared" ca="1" si="62"/>
        <v>232.392754</v>
      </c>
      <c r="M573">
        <f t="shared" si="63"/>
        <v>245.44154499999999</v>
      </c>
      <c r="N573">
        <v>79022</v>
      </c>
      <c r="O573">
        <f t="shared" ca="1" si="59"/>
        <v>0.94683544303797473</v>
      </c>
    </row>
    <row r="574" spans="1:15" x14ac:dyDescent="0.2">
      <c r="A574" t="str">
        <f ca="1">IFERROR(__xludf.DUMMYFUNCTION("""COMPUTED_VALUE"""),"km")</f>
        <v>km</v>
      </c>
      <c r="B574" t="str">
        <f ca="1">IFERROR(__xludf.DUMMYFUNCTION("""COMPUTED_VALUE"""),"Model S P85")</f>
        <v>Model S P85</v>
      </c>
      <c r="C574">
        <f ca="1">IFERROR(__xludf.DUMMYFUNCTION("""COMPUTED_VALUE"""),392)</f>
        <v>392</v>
      </c>
      <c r="D574">
        <f ca="1">IFERROR(__xludf.DUMMYFUNCTION("""COMPUTED_VALUE"""),90000)</f>
        <v>90000</v>
      </c>
      <c r="E574">
        <f ca="1">IFERROR(__xludf.DUMMYFUNCTION("""COMPUTED_VALUE"""),374)</f>
        <v>374</v>
      </c>
      <c r="F574">
        <v>395</v>
      </c>
      <c r="G574">
        <v>0.94683544303797473</v>
      </c>
      <c r="H574">
        <v>55923</v>
      </c>
      <c r="I574">
        <v>90000</v>
      </c>
      <c r="J574">
        <v>55923</v>
      </c>
      <c r="K574">
        <v>0.94582377496638503</v>
      </c>
      <c r="L574">
        <f t="shared" ca="1" si="62"/>
        <v>232.392754</v>
      </c>
      <c r="M574">
        <f t="shared" si="63"/>
        <v>245.44154499999999</v>
      </c>
      <c r="N574">
        <v>55923</v>
      </c>
      <c r="O574">
        <f t="shared" ca="1" si="59"/>
        <v>0.94683544303797473</v>
      </c>
    </row>
    <row r="575" spans="1:15" x14ac:dyDescent="0.2">
      <c r="A575" t="str">
        <f ca="1">IFERROR(__xludf.DUMMYFUNCTION("""COMPUTED_VALUE"""),"km")</f>
        <v>km</v>
      </c>
      <c r="B575" t="str">
        <f ca="1">IFERROR(__xludf.DUMMYFUNCTION("""COMPUTED_VALUE"""),"Model S 85")</f>
        <v>Model S 85</v>
      </c>
      <c r="D575">
        <f ca="1">IFERROR(__xludf.DUMMYFUNCTION("""COMPUTED_VALUE"""),102000)</f>
        <v>102000</v>
      </c>
      <c r="E575">
        <f ca="1">IFERROR(__xludf.DUMMYFUNCTION("""COMPUTED_VALUE"""),374)</f>
        <v>374</v>
      </c>
      <c r="F575">
        <v>395</v>
      </c>
      <c r="G575">
        <v>0.94683544303797473</v>
      </c>
      <c r="H575">
        <v>63380</v>
      </c>
      <c r="I575">
        <v>102000</v>
      </c>
      <c r="J575">
        <v>63380</v>
      </c>
      <c r="K575">
        <v>0.93977840010129254</v>
      </c>
      <c r="L575">
        <f t="shared" ca="1" si="62"/>
        <v>232.392754</v>
      </c>
      <c r="M575">
        <f t="shared" si="63"/>
        <v>245.44154499999999</v>
      </c>
      <c r="N575">
        <v>63380</v>
      </c>
      <c r="O575">
        <f t="shared" ca="1" si="59"/>
        <v>0.94683544303797473</v>
      </c>
    </row>
    <row r="576" spans="1:15" x14ac:dyDescent="0.2">
      <c r="A576" t="str">
        <f ca="1">IFERROR(__xludf.DUMMYFUNCTION("""COMPUTED_VALUE"""),"km")</f>
        <v>km</v>
      </c>
      <c r="B576" t="str">
        <f ca="1">IFERROR(__xludf.DUMMYFUNCTION("""COMPUTED_VALUE"""),"Model S 85")</f>
        <v>Model S 85</v>
      </c>
      <c r="D576">
        <f ca="1">IFERROR(__xludf.DUMMYFUNCTION("""COMPUTED_VALUE"""),139100)</f>
        <v>139100</v>
      </c>
      <c r="E576">
        <f ca="1">IFERROR(__xludf.DUMMYFUNCTION("""COMPUTED_VALUE"""),374)</f>
        <v>374</v>
      </c>
      <c r="F576">
        <v>395</v>
      </c>
      <c r="G576">
        <v>0.94683544303797473</v>
      </c>
      <c r="H576">
        <v>86433</v>
      </c>
      <c r="I576">
        <v>139100</v>
      </c>
      <c r="J576">
        <v>86433</v>
      </c>
      <c r="K576">
        <v>0.92293573511055449</v>
      </c>
      <c r="L576">
        <f t="shared" ca="1" si="62"/>
        <v>232.392754</v>
      </c>
      <c r="M576">
        <f t="shared" si="63"/>
        <v>245.44154499999999</v>
      </c>
      <c r="N576">
        <v>86433</v>
      </c>
      <c r="O576">
        <f t="shared" ca="1" si="59"/>
        <v>0.94683544303797473</v>
      </c>
    </row>
    <row r="577" spans="1:15" x14ac:dyDescent="0.2">
      <c r="A577" t="str">
        <f ca="1">IFERROR(__xludf.DUMMYFUNCTION("""COMPUTED_VALUE"""),"km")</f>
        <v>km</v>
      </c>
      <c r="B577" t="str">
        <f ca="1">IFERROR(__xludf.DUMMYFUNCTION("""COMPUTED_VALUE"""),"Model S 85")</f>
        <v>Model S 85</v>
      </c>
      <c r="C577">
        <f ca="1">IFERROR(__xludf.DUMMYFUNCTION("""COMPUTED_VALUE"""),392)</f>
        <v>392</v>
      </c>
      <c r="D577">
        <f ca="1">IFERROR(__xludf.DUMMYFUNCTION("""COMPUTED_VALUE"""),62660)</f>
        <v>62660</v>
      </c>
      <c r="E577">
        <f ca="1">IFERROR(__xludf.DUMMYFUNCTION("""COMPUTED_VALUE"""),374)</f>
        <v>374</v>
      </c>
      <c r="F577">
        <v>395</v>
      </c>
      <c r="G577">
        <v>0.94683544303797473</v>
      </c>
      <c r="H577">
        <v>38935</v>
      </c>
      <c r="I577">
        <v>62660</v>
      </c>
      <c r="J577">
        <v>38935</v>
      </c>
      <c r="K577">
        <v>0.9606569318506315</v>
      </c>
      <c r="L577">
        <f t="shared" ca="1" si="62"/>
        <v>232.392754</v>
      </c>
      <c r="M577">
        <f t="shared" si="63"/>
        <v>245.44154499999999</v>
      </c>
      <c r="N577">
        <v>38935</v>
      </c>
      <c r="O577">
        <f t="shared" ca="1" si="59"/>
        <v>0.94683544303797473</v>
      </c>
    </row>
    <row r="578" spans="1:15" x14ac:dyDescent="0.2">
      <c r="A578" t="str">
        <f ca="1">IFERROR(__xludf.DUMMYFUNCTION("""COMPUTED_VALUE"""),"km")</f>
        <v>km</v>
      </c>
      <c r="B578" t="str">
        <f ca="1">IFERROR(__xludf.DUMMYFUNCTION("""COMPUTED_VALUE"""),"Model S 85")</f>
        <v>Model S 85</v>
      </c>
      <c r="C578">
        <f ca="1">IFERROR(__xludf.DUMMYFUNCTION("""COMPUTED_VALUE"""),398)</f>
        <v>398</v>
      </c>
      <c r="D578">
        <f ca="1">IFERROR(__xludf.DUMMYFUNCTION("""COMPUTED_VALUE"""),108644)</f>
        <v>108644</v>
      </c>
      <c r="E578">
        <f ca="1">IFERROR(__xludf.DUMMYFUNCTION("""COMPUTED_VALUE"""),374)</f>
        <v>374</v>
      </c>
      <c r="F578">
        <v>395</v>
      </c>
      <c r="G578">
        <v>0.94683544303797473</v>
      </c>
      <c r="H578">
        <v>67508</v>
      </c>
      <c r="I578">
        <v>108644</v>
      </c>
      <c r="J578">
        <v>67508</v>
      </c>
      <c r="K578">
        <v>0.93655546955835434</v>
      </c>
      <c r="L578">
        <f t="shared" ca="1" si="62"/>
        <v>232.392754</v>
      </c>
      <c r="M578">
        <f t="shared" si="63"/>
        <v>245.44154499999999</v>
      </c>
      <c r="N578">
        <v>67508</v>
      </c>
      <c r="O578">
        <f t="shared" ref="O578:O641" ca="1" si="64">L578/M578</f>
        <v>0.94683544303797473</v>
      </c>
    </row>
    <row r="579" spans="1:15" x14ac:dyDescent="0.2">
      <c r="A579" t="str">
        <f ca="1">IFERROR(__xludf.DUMMYFUNCTION("""COMPUTED_VALUE"""),"km")</f>
        <v>km</v>
      </c>
      <c r="B579" t="str">
        <f ca="1">IFERROR(__xludf.DUMMYFUNCTION("""COMPUTED_VALUE"""),"Model S 85")</f>
        <v>Model S 85</v>
      </c>
      <c r="D579">
        <f ca="1">IFERROR(__xludf.DUMMYFUNCTION("""COMPUTED_VALUE"""),98528)</f>
        <v>98528</v>
      </c>
      <c r="E579">
        <f ca="1">IFERROR(__xludf.DUMMYFUNCTION("""COMPUTED_VALUE"""),374)</f>
        <v>374</v>
      </c>
      <c r="F579">
        <v>395</v>
      </c>
      <c r="G579">
        <v>0.94683544303797473</v>
      </c>
      <c r="H579">
        <v>61222</v>
      </c>
      <c r="I579">
        <v>98528</v>
      </c>
      <c r="J579">
        <v>61222</v>
      </c>
      <c r="K579">
        <v>0.94149795614499932</v>
      </c>
      <c r="L579">
        <f t="shared" ca="1" si="62"/>
        <v>232.392754</v>
      </c>
      <c r="M579">
        <f t="shared" si="63"/>
        <v>245.44154499999999</v>
      </c>
      <c r="N579">
        <v>61222</v>
      </c>
      <c r="O579">
        <f t="shared" ca="1" si="64"/>
        <v>0.94683544303797473</v>
      </c>
    </row>
    <row r="580" spans="1:15" x14ac:dyDescent="0.2">
      <c r="A580" t="str">
        <f ca="1">IFERROR(__xludf.DUMMYFUNCTION("""COMPUTED_VALUE"""),"km")</f>
        <v>km</v>
      </c>
      <c r="B580" t="str">
        <f ca="1">IFERROR(__xludf.DUMMYFUNCTION("""COMPUTED_VALUE"""),"Model S 85")</f>
        <v>Model S 85</v>
      </c>
      <c r="C580">
        <f ca="1">IFERROR(__xludf.DUMMYFUNCTION("""COMPUTED_VALUE"""),387)</f>
        <v>387</v>
      </c>
      <c r="D580">
        <f ca="1">IFERROR(__xludf.DUMMYFUNCTION("""COMPUTED_VALUE"""),58000)</f>
        <v>58000</v>
      </c>
      <c r="E580">
        <f ca="1">IFERROR(__xludf.DUMMYFUNCTION("""COMPUTED_VALUE"""),374)</f>
        <v>374</v>
      </c>
      <c r="F580">
        <v>395</v>
      </c>
      <c r="G580">
        <v>0.94683544303797473</v>
      </c>
      <c r="H580">
        <v>36040</v>
      </c>
      <c r="I580">
        <v>58000</v>
      </c>
      <c r="J580">
        <v>36040</v>
      </c>
      <c r="K580">
        <v>0.96332969200394658</v>
      </c>
      <c r="L580">
        <f t="shared" ca="1" si="62"/>
        <v>232.392754</v>
      </c>
      <c r="M580">
        <f t="shared" si="63"/>
        <v>245.44154499999999</v>
      </c>
      <c r="N580">
        <v>36040</v>
      </c>
      <c r="O580">
        <f t="shared" ca="1" si="64"/>
        <v>0.94683544303797473</v>
      </c>
    </row>
    <row r="581" spans="1:15" x14ac:dyDescent="0.2">
      <c r="A581" t="str">
        <f ca="1">IFERROR(__xludf.DUMMYFUNCTION("""COMPUTED_VALUE"""),"km")</f>
        <v>km</v>
      </c>
      <c r="B581" t="str">
        <f ca="1">IFERROR(__xludf.DUMMYFUNCTION("""COMPUTED_VALUE"""),"Model S P85")</f>
        <v>Model S P85</v>
      </c>
      <c r="C581">
        <f ca="1">IFERROR(__xludf.DUMMYFUNCTION("""COMPUTED_VALUE"""),396)</f>
        <v>396</v>
      </c>
      <c r="D581">
        <f ca="1">IFERROR(__xludf.DUMMYFUNCTION("""COMPUTED_VALUE"""),64000)</f>
        <v>64000</v>
      </c>
      <c r="E581">
        <f ca="1">IFERROR(__xludf.DUMMYFUNCTION("""COMPUTED_VALUE"""),374)</f>
        <v>374</v>
      </c>
      <c r="F581">
        <v>395</v>
      </c>
      <c r="G581">
        <v>0.94683544303797473</v>
      </c>
      <c r="H581">
        <v>39768</v>
      </c>
      <c r="I581">
        <v>64000</v>
      </c>
      <c r="J581">
        <v>39768</v>
      </c>
      <c r="K581">
        <v>0.95989608453925312</v>
      </c>
      <c r="L581">
        <f t="shared" ca="1" si="62"/>
        <v>232.392754</v>
      </c>
      <c r="M581">
        <f t="shared" si="63"/>
        <v>245.44154499999999</v>
      </c>
      <c r="N581">
        <v>39768</v>
      </c>
      <c r="O581">
        <f t="shared" ca="1" si="64"/>
        <v>0.94683544303797473</v>
      </c>
    </row>
    <row r="582" spans="1:15" x14ac:dyDescent="0.2">
      <c r="A582" t="str">
        <f ca="1">IFERROR(__xludf.DUMMYFUNCTION("""COMPUTED_VALUE"""),"km")</f>
        <v>km</v>
      </c>
      <c r="B582" t="str">
        <f ca="1">IFERROR(__xludf.DUMMYFUNCTION("""COMPUTED_VALUE"""),"Model S 85")</f>
        <v>Model S 85</v>
      </c>
      <c r="C582">
        <f ca="1">IFERROR(__xludf.DUMMYFUNCTION("""COMPUTED_VALUE"""),395)</f>
        <v>395</v>
      </c>
      <c r="D582">
        <f ca="1">IFERROR(__xludf.DUMMYFUNCTION("""COMPUTED_VALUE"""),89867)</f>
        <v>89867</v>
      </c>
      <c r="E582">
        <f ca="1">IFERROR(__xludf.DUMMYFUNCTION("""COMPUTED_VALUE"""),374)</f>
        <v>374</v>
      </c>
      <c r="F582">
        <v>395</v>
      </c>
      <c r="G582">
        <v>0.94683544303797473</v>
      </c>
      <c r="H582">
        <v>55841</v>
      </c>
      <c r="I582">
        <v>89867</v>
      </c>
      <c r="J582">
        <v>55841</v>
      </c>
      <c r="K582">
        <v>0.94589238428245781</v>
      </c>
      <c r="L582">
        <f t="shared" ca="1" si="62"/>
        <v>232.392754</v>
      </c>
      <c r="M582">
        <f t="shared" si="63"/>
        <v>245.44154499999999</v>
      </c>
      <c r="N582">
        <v>55841</v>
      </c>
      <c r="O582">
        <f t="shared" ca="1" si="64"/>
        <v>0.94683544303797473</v>
      </c>
    </row>
    <row r="583" spans="1:15" x14ac:dyDescent="0.2">
      <c r="A583" t="str">
        <f ca="1">IFERROR(__xludf.DUMMYFUNCTION("""COMPUTED_VALUE"""),"km")</f>
        <v>km</v>
      </c>
      <c r="B583" t="str">
        <f ca="1">IFERROR(__xludf.DUMMYFUNCTION("""COMPUTED_VALUE"""),"Model S 85")</f>
        <v>Model S 85</v>
      </c>
      <c r="C583">
        <f ca="1">IFERROR(__xludf.DUMMYFUNCTION("""COMPUTED_VALUE"""),392)</f>
        <v>392</v>
      </c>
      <c r="D583">
        <f ca="1">IFERROR(__xludf.DUMMYFUNCTION("""COMPUTED_VALUE"""),46500)</f>
        <v>46500</v>
      </c>
      <c r="E583">
        <f ca="1">IFERROR(__xludf.DUMMYFUNCTION("""COMPUTED_VALUE"""),374)</f>
        <v>374</v>
      </c>
      <c r="F583">
        <v>395</v>
      </c>
      <c r="G583">
        <v>0.94683544303797473</v>
      </c>
      <c r="H583">
        <v>28894</v>
      </c>
      <c r="I583">
        <v>46500</v>
      </c>
      <c r="J583">
        <v>28894</v>
      </c>
      <c r="K583">
        <v>0.97010270245199237</v>
      </c>
      <c r="L583">
        <f t="shared" ca="1" si="62"/>
        <v>232.392754</v>
      </c>
      <c r="M583">
        <f t="shared" si="63"/>
        <v>245.44154499999999</v>
      </c>
      <c r="N583">
        <v>28894</v>
      </c>
      <c r="O583">
        <f t="shared" ca="1" si="64"/>
        <v>0.94683544303797473</v>
      </c>
    </row>
    <row r="584" spans="1:15" x14ac:dyDescent="0.2">
      <c r="A584" t="str">
        <f ca="1">IFERROR(__xludf.DUMMYFUNCTION("""COMPUTED_VALUE"""),"km")</f>
        <v>km</v>
      </c>
      <c r="B584" t="str">
        <f ca="1">IFERROR(__xludf.DUMMYFUNCTION("""COMPUTED_VALUE"""),"Model S P85")</f>
        <v>Model S P85</v>
      </c>
      <c r="D584">
        <f ca="1">IFERROR(__xludf.DUMMYFUNCTION("""COMPUTED_VALUE"""),43500)</f>
        <v>43500</v>
      </c>
      <c r="E584">
        <f ca="1">IFERROR(__xludf.DUMMYFUNCTION("""COMPUTED_VALUE"""),374)</f>
        <v>374</v>
      </c>
      <c r="F584">
        <v>395</v>
      </c>
      <c r="G584">
        <v>0.94683544303797473</v>
      </c>
      <c r="H584">
        <v>27030</v>
      </c>
      <c r="I584">
        <v>43500</v>
      </c>
      <c r="J584">
        <v>27030</v>
      </c>
      <c r="K584">
        <v>0.97191073942701633</v>
      </c>
      <c r="L584">
        <f t="shared" ca="1" si="62"/>
        <v>232.392754</v>
      </c>
      <c r="M584">
        <f t="shared" si="63"/>
        <v>245.44154499999999</v>
      </c>
      <c r="N584">
        <v>27030</v>
      </c>
      <c r="O584">
        <f t="shared" ca="1" si="64"/>
        <v>0.94683544303797473</v>
      </c>
    </row>
    <row r="585" spans="1:15" x14ac:dyDescent="0.2">
      <c r="A585" t="str">
        <f ca="1">IFERROR(__xludf.DUMMYFUNCTION("""COMPUTED_VALUE"""),"km")</f>
        <v>km</v>
      </c>
      <c r="B585" t="str">
        <f ca="1">IFERROR(__xludf.DUMMYFUNCTION("""COMPUTED_VALUE"""),"Model S P85")</f>
        <v>Model S P85</v>
      </c>
      <c r="C585">
        <f ca="1">IFERROR(__xludf.DUMMYFUNCTION("""COMPUTED_VALUE"""),402)</f>
        <v>402</v>
      </c>
      <c r="D585">
        <f ca="1">IFERROR(__xludf.DUMMYFUNCTION("""COMPUTED_VALUE"""),67023)</f>
        <v>67023</v>
      </c>
      <c r="E585">
        <f ca="1">IFERROR(__xludf.DUMMYFUNCTION("""COMPUTED_VALUE"""),374)</f>
        <v>374</v>
      </c>
      <c r="F585">
        <v>395</v>
      </c>
      <c r="G585">
        <v>0.94683544303797473</v>
      </c>
      <c r="H585">
        <v>41646</v>
      </c>
      <c r="I585">
        <v>67023</v>
      </c>
      <c r="J585">
        <v>41646</v>
      </c>
      <c r="K585">
        <v>0.95819233457469166</v>
      </c>
      <c r="L585">
        <f t="shared" ca="1" si="62"/>
        <v>232.392754</v>
      </c>
      <c r="M585">
        <f t="shared" si="63"/>
        <v>245.44154499999999</v>
      </c>
      <c r="N585">
        <v>41646</v>
      </c>
      <c r="O585">
        <f t="shared" ca="1" si="64"/>
        <v>0.94683544303797473</v>
      </c>
    </row>
    <row r="586" spans="1:15" x14ac:dyDescent="0.2">
      <c r="A586" t="str">
        <f ca="1">IFERROR(__xludf.DUMMYFUNCTION("""COMPUTED_VALUE"""),"km")</f>
        <v>km</v>
      </c>
      <c r="B586" t="str">
        <f ca="1">IFERROR(__xludf.DUMMYFUNCTION("""COMPUTED_VALUE"""),"Model S P85")</f>
        <v>Model S P85</v>
      </c>
      <c r="C586">
        <f ca="1">IFERROR(__xludf.DUMMYFUNCTION("""COMPUTED_VALUE"""),396)</f>
        <v>396</v>
      </c>
      <c r="D586">
        <f ca="1">IFERROR(__xludf.DUMMYFUNCTION("""COMPUTED_VALUE"""),56000)</f>
        <v>56000</v>
      </c>
      <c r="E586">
        <f ca="1">IFERROR(__xludf.DUMMYFUNCTION("""COMPUTED_VALUE"""),374)</f>
        <v>374</v>
      </c>
      <c r="F586">
        <v>395</v>
      </c>
      <c r="G586">
        <v>0.94683544303797473</v>
      </c>
      <c r="H586">
        <v>34797</v>
      </c>
      <c r="I586">
        <v>56000</v>
      </c>
      <c r="J586">
        <v>34797</v>
      </c>
      <c r="K586">
        <v>0.96448954167134049</v>
      </c>
      <c r="L586">
        <f t="shared" ca="1" si="62"/>
        <v>232.392754</v>
      </c>
      <c r="M586">
        <f t="shared" si="63"/>
        <v>245.44154499999999</v>
      </c>
      <c r="N586">
        <v>34797</v>
      </c>
      <c r="O586">
        <f t="shared" ca="1" si="64"/>
        <v>0.94683544303797473</v>
      </c>
    </row>
    <row r="587" spans="1:15" x14ac:dyDescent="0.2">
      <c r="A587" t="str">
        <f ca="1">IFERROR(__xludf.DUMMYFUNCTION("""COMPUTED_VALUE"""),"km")</f>
        <v>km</v>
      </c>
      <c r="B587" t="str">
        <f ca="1">IFERROR(__xludf.DUMMYFUNCTION("""COMPUTED_VALUE"""),"Model S 85")</f>
        <v>Model S 85</v>
      </c>
      <c r="C587">
        <f ca="1">IFERROR(__xludf.DUMMYFUNCTION("""COMPUTED_VALUE"""),400)</f>
        <v>400</v>
      </c>
      <c r="D587">
        <f ca="1">IFERROR(__xludf.DUMMYFUNCTION("""COMPUTED_VALUE"""),48000)</f>
        <v>48000</v>
      </c>
      <c r="E587">
        <f ca="1">IFERROR(__xludf.DUMMYFUNCTION("""COMPUTED_VALUE"""),374)</f>
        <v>374</v>
      </c>
      <c r="F587">
        <v>395</v>
      </c>
      <c r="G587">
        <v>0.94683544303797473</v>
      </c>
      <c r="H587">
        <v>29826</v>
      </c>
      <c r="I587">
        <v>48000</v>
      </c>
      <c r="J587">
        <v>29826</v>
      </c>
      <c r="K587">
        <v>0.96920504742353453</v>
      </c>
      <c r="L587">
        <f t="shared" ca="1" si="62"/>
        <v>232.392754</v>
      </c>
      <c r="M587">
        <f t="shared" si="63"/>
        <v>245.44154499999999</v>
      </c>
      <c r="N587">
        <v>29826</v>
      </c>
      <c r="O587">
        <f t="shared" ca="1" si="64"/>
        <v>0.94683544303797473</v>
      </c>
    </row>
    <row r="588" spans="1:15" x14ac:dyDescent="0.2">
      <c r="A588" t="str">
        <f ca="1">IFERROR(__xludf.DUMMYFUNCTION("""COMPUTED_VALUE"""),"km")</f>
        <v>km</v>
      </c>
      <c r="B588" t="str">
        <f ca="1">IFERROR(__xludf.DUMMYFUNCTION("""COMPUTED_VALUE"""),"Model S 85")</f>
        <v>Model S 85</v>
      </c>
      <c r="C588">
        <f ca="1">IFERROR(__xludf.DUMMYFUNCTION("""COMPUTED_VALUE"""),398)</f>
        <v>398</v>
      </c>
      <c r="D588">
        <f ca="1">IFERROR(__xludf.DUMMYFUNCTION("""COMPUTED_VALUE"""),60689)</f>
        <v>60689</v>
      </c>
      <c r="E588">
        <f ca="1">IFERROR(__xludf.DUMMYFUNCTION("""COMPUTED_VALUE"""),374)</f>
        <v>374</v>
      </c>
      <c r="F588">
        <v>395</v>
      </c>
      <c r="G588">
        <v>0.94683544303797473</v>
      </c>
      <c r="H588">
        <v>37710</v>
      </c>
      <c r="I588">
        <v>60689</v>
      </c>
      <c r="J588">
        <v>37710</v>
      </c>
      <c r="K588">
        <v>0.96178232699938315</v>
      </c>
      <c r="L588">
        <f t="shared" ca="1" si="62"/>
        <v>232.392754</v>
      </c>
      <c r="M588">
        <f t="shared" si="63"/>
        <v>245.44154499999999</v>
      </c>
      <c r="N588">
        <v>37710</v>
      </c>
      <c r="O588">
        <f t="shared" ca="1" si="64"/>
        <v>0.94683544303797473</v>
      </c>
    </row>
    <row r="589" spans="1:15" x14ac:dyDescent="0.2">
      <c r="A589" t="str">
        <f ca="1">IFERROR(__xludf.DUMMYFUNCTION("""COMPUTED_VALUE"""),"km")</f>
        <v>km</v>
      </c>
      <c r="B589" t="str">
        <f ca="1">IFERROR(__xludf.DUMMYFUNCTION("""COMPUTED_VALUE"""),"Model S P85+")</f>
        <v>Model S P85+</v>
      </c>
      <c r="D589">
        <f ca="1">IFERROR(__xludf.DUMMYFUNCTION("""COMPUTED_VALUE"""),45800)</f>
        <v>45800</v>
      </c>
      <c r="E589">
        <f ca="1">IFERROR(__xludf.DUMMYFUNCTION("""COMPUTED_VALUE"""),374)</f>
        <v>374</v>
      </c>
      <c r="F589">
        <v>395</v>
      </c>
      <c r="G589">
        <v>0.94683544303797473</v>
      </c>
      <c r="H589">
        <v>28459</v>
      </c>
      <c r="I589">
        <v>45800</v>
      </c>
      <c r="J589">
        <v>28459</v>
      </c>
      <c r="K589">
        <v>0.9705230612069532</v>
      </c>
      <c r="L589">
        <f t="shared" ca="1" si="62"/>
        <v>232.392754</v>
      </c>
      <c r="M589">
        <f t="shared" si="63"/>
        <v>245.44154499999999</v>
      </c>
      <c r="N589">
        <v>28459</v>
      </c>
      <c r="O589">
        <f t="shared" ca="1" si="64"/>
        <v>0.94683544303797473</v>
      </c>
    </row>
    <row r="590" spans="1:15" x14ac:dyDescent="0.2">
      <c r="A590" t="str">
        <f ca="1">IFERROR(__xludf.DUMMYFUNCTION("""COMPUTED_VALUE"""),"km")</f>
        <v>km</v>
      </c>
      <c r="B590" t="str">
        <f ca="1">IFERROR(__xludf.DUMMYFUNCTION("""COMPUTED_VALUE"""),"Model S P85+")</f>
        <v>Model S P85+</v>
      </c>
      <c r="D590">
        <f ca="1">IFERROR(__xludf.DUMMYFUNCTION("""COMPUTED_VALUE"""),41000)</f>
        <v>41000</v>
      </c>
      <c r="E590">
        <f ca="1">IFERROR(__xludf.DUMMYFUNCTION("""COMPUTED_VALUE"""),374)</f>
        <v>374</v>
      </c>
      <c r="F590">
        <v>395</v>
      </c>
      <c r="G590">
        <v>0.94683544303797473</v>
      </c>
      <c r="H590">
        <v>25476</v>
      </c>
      <c r="I590">
        <v>41000</v>
      </c>
      <c r="J590">
        <v>25476</v>
      </c>
      <c r="K590">
        <v>0.97343036521734783</v>
      </c>
      <c r="L590">
        <f t="shared" ca="1" si="62"/>
        <v>232.392754</v>
      </c>
      <c r="M590">
        <f t="shared" si="63"/>
        <v>245.44154499999999</v>
      </c>
      <c r="N590">
        <v>25476</v>
      </c>
      <c r="O590">
        <f t="shared" ca="1" si="64"/>
        <v>0.94683544303797473</v>
      </c>
    </row>
    <row r="591" spans="1:15" x14ac:dyDescent="0.2">
      <c r="A591" t="str">
        <f ca="1">IFERROR(__xludf.DUMMYFUNCTION("""COMPUTED_VALUE"""),"km")</f>
        <v>km</v>
      </c>
      <c r="B591" t="str">
        <f ca="1">IFERROR(__xludf.DUMMYFUNCTION("""COMPUTED_VALUE"""),"Model S 85")</f>
        <v>Model S 85</v>
      </c>
      <c r="D591">
        <f ca="1">IFERROR(__xludf.DUMMYFUNCTION("""COMPUTED_VALUE"""),63000)</f>
        <v>63000</v>
      </c>
      <c r="E591">
        <f ca="1">IFERROR(__xludf.DUMMYFUNCTION("""COMPUTED_VALUE"""),374)</f>
        <v>374</v>
      </c>
      <c r="F591">
        <v>395</v>
      </c>
      <c r="G591">
        <v>0.94683544303797473</v>
      </c>
      <c r="H591">
        <v>39146</v>
      </c>
      <c r="I591">
        <v>63000</v>
      </c>
      <c r="J591">
        <v>39146</v>
      </c>
      <c r="K591">
        <v>0.96046355418251395</v>
      </c>
      <c r="L591">
        <f t="shared" ca="1" si="62"/>
        <v>232.392754</v>
      </c>
      <c r="M591">
        <f t="shared" si="63"/>
        <v>245.44154499999999</v>
      </c>
      <c r="N591">
        <v>39146</v>
      </c>
      <c r="O591">
        <f t="shared" ca="1" si="64"/>
        <v>0.94683544303797473</v>
      </c>
    </row>
    <row r="592" spans="1:15" x14ac:dyDescent="0.2">
      <c r="A592" t="str">
        <f ca="1">IFERROR(__xludf.DUMMYFUNCTION("""COMPUTED_VALUE"""),"km")</f>
        <v>km</v>
      </c>
      <c r="B592" t="str">
        <f ca="1">IFERROR(__xludf.DUMMYFUNCTION("""COMPUTED_VALUE"""),"Model S 85")</f>
        <v>Model S 85</v>
      </c>
      <c r="D592">
        <f ca="1">IFERROR(__xludf.DUMMYFUNCTION("""COMPUTED_VALUE"""),59500)</f>
        <v>59500</v>
      </c>
      <c r="E592">
        <f ca="1">IFERROR(__xludf.DUMMYFUNCTION("""COMPUTED_VALUE"""),374)</f>
        <v>374</v>
      </c>
      <c r="F592">
        <v>395</v>
      </c>
      <c r="G592">
        <v>0.94683544303797473</v>
      </c>
      <c r="H592">
        <v>36972</v>
      </c>
      <c r="I592">
        <v>59500</v>
      </c>
      <c r="J592">
        <v>36972</v>
      </c>
      <c r="K592">
        <v>0.96246482105134989</v>
      </c>
      <c r="L592">
        <f t="shared" ca="1" si="62"/>
        <v>232.392754</v>
      </c>
      <c r="M592">
        <f t="shared" si="63"/>
        <v>245.44154499999999</v>
      </c>
      <c r="N592">
        <v>36972</v>
      </c>
      <c r="O592">
        <f t="shared" ca="1" si="64"/>
        <v>0.94683544303797473</v>
      </c>
    </row>
    <row r="593" spans="1:15" x14ac:dyDescent="0.2">
      <c r="A593" t="str">
        <f ca="1">IFERROR(__xludf.DUMMYFUNCTION("""COMPUTED_VALUE"""),"km")</f>
        <v>km</v>
      </c>
      <c r="B593" t="str">
        <f ca="1">IFERROR(__xludf.DUMMYFUNCTION("""COMPUTED_VALUE"""),"Unspecified 85 kWh")</f>
        <v>Unspecified 85 kWh</v>
      </c>
      <c r="D593">
        <f ca="1">IFERROR(__xludf.DUMMYFUNCTION("""COMPUTED_VALUE"""),37000)</f>
        <v>37000</v>
      </c>
      <c r="E593">
        <f ca="1">IFERROR(__xludf.DUMMYFUNCTION("""COMPUTED_VALUE"""),374)</f>
        <v>374</v>
      </c>
      <c r="F593">
        <v>395</v>
      </c>
      <c r="G593">
        <v>0.94683544303797473</v>
      </c>
      <c r="H593">
        <v>22991</v>
      </c>
      <c r="I593">
        <v>37000</v>
      </c>
      <c r="J593">
        <v>22991</v>
      </c>
      <c r="K593">
        <v>0.97588612501943528</v>
      </c>
      <c r="L593">
        <f t="shared" ca="1" si="62"/>
        <v>232.392754</v>
      </c>
      <c r="M593">
        <f t="shared" si="63"/>
        <v>245.44154499999999</v>
      </c>
      <c r="N593">
        <v>22991</v>
      </c>
      <c r="O593">
        <f t="shared" ca="1" si="64"/>
        <v>0.94683544303797473</v>
      </c>
    </row>
    <row r="594" spans="1:15" x14ac:dyDescent="0.2">
      <c r="A594" t="str">
        <f ca="1">IFERROR(__xludf.DUMMYFUNCTION("""COMPUTED_VALUE"""),"mi")</f>
        <v>mi</v>
      </c>
      <c r="B594" t="str">
        <f ca="1">IFERROR(__xludf.DUMMYFUNCTION("""COMPUTED_VALUE"""),"Model S 85")</f>
        <v>Model S 85</v>
      </c>
      <c r="D594">
        <f ca="1">IFERROR(__xludf.DUMMYFUNCTION("""COMPUTED_VALUE"""),57153)</f>
        <v>57153</v>
      </c>
      <c r="E594">
        <f ca="1">IFERROR(__xludf.DUMMYFUNCTION("""COMPUTED_VALUE"""),232)</f>
        <v>232</v>
      </c>
      <c r="F594">
        <v>245</v>
      </c>
      <c r="G594">
        <v>0.94693877551020411</v>
      </c>
      <c r="H594">
        <v>57153</v>
      </c>
      <c r="I594">
        <v>91979</v>
      </c>
      <c r="J594">
        <v>57153</v>
      </c>
      <c r="K594">
        <v>0.94480703400506383</v>
      </c>
      <c r="L594">
        <f ca="1">IFERROR(__xludf.DUMMYFUNCTION("""COMPUTED_VALUE"""),232)</f>
        <v>232</v>
      </c>
      <c r="M594">
        <v>245</v>
      </c>
      <c r="N594">
        <v>57153</v>
      </c>
      <c r="O594">
        <f t="shared" ca="1" si="64"/>
        <v>0.94693877551020411</v>
      </c>
    </row>
    <row r="595" spans="1:15" x14ac:dyDescent="0.2">
      <c r="A595" t="str">
        <f ca="1">IFERROR(__xludf.DUMMYFUNCTION("""COMPUTED_VALUE"""),"mi")</f>
        <v>mi</v>
      </c>
      <c r="B595" t="str">
        <f ca="1">IFERROR(__xludf.DUMMYFUNCTION("""COMPUTED_VALUE"""),"Model S 75")</f>
        <v>Model S 75</v>
      </c>
      <c r="C595">
        <f ca="1">IFERROR(__xludf.DUMMYFUNCTION("""COMPUTED_VALUE"""),247)</f>
        <v>247</v>
      </c>
      <c r="D595">
        <f ca="1">IFERROR(__xludf.DUMMYFUNCTION("""COMPUTED_VALUE"""),24846)</f>
        <v>24846</v>
      </c>
      <c r="E595">
        <f ca="1">IFERROR(__xludf.DUMMYFUNCTION("""COMPUTED_VALUE"""),233)</f>
        <v>233</v>
      </c>
      <c r="F595">
        <v>246</v>
      </c>
      <c r="G595">
        <v>0.94715447154471544</v>
      </c>
      <c r="H595">
        <v>24846</v>
      </c>
      <c r="I595">
        <v>39986</v>
      </c>
      <c r="J595">
        <v>24846</v>
      </c>
      <c r="K595">
        <v>0.9740500674498147</v>
      </c>
      <c r="L595">
        <f ca="1">IFERROR(__xludf.DUMMYFUNCTION("""COMPUTED_VALUE"""),233)</f>
        <v>233</v>
      </c>
      <c r="M595">
        <v>246</v>
      </c>
      <c r="N595">
        <v>24846</v>
      </c>
      <c r="O595">
        <f t="shared" ca="1" si="64"/>
        <v>0.94715447154471544</v>
      </c>
    </row>
    <row r="596" spans="1:15" x14ac:dyDescent="0.2">
      <c r="A596" t="str">
        <f ca="1">IFERROR(__xludf.DUMMYFUNCTION("""COMPUTED_VALUE"""),"km")</f>
        <v>km</v>
      </c>
      <c r="B596" t="str">
        <f ca="1">IFERROR(__xludf.DUMMYFUNCTION("""COMPUTED_VALUE"""),"Model S 70D")</f>
        <v>Model S 70D</v>
      </c>
      <c r="D596">
        <f ca="1">IFERROR(__xludf.DUMMYFUNCTION("""COMPUTED_VALUE"""),176331)</f>
        <v>176331</v>
      </c>
      <c r="E596">
        <f ca="1">IFERROR(__xludf.DUMMYFUNCTION("""COMPUTED_VALUE"""),341)</f>
        <v>341</v>
      </c>
      <c r="F596">
        <v>360</v>
      </c>
      <c r="G596">
        <v>0.94722222222222219</v>
      </c>
      <c r="H596">
        <v>109567</v>
      </c>
      <c r="I596">
        <v>176331</v>
      </c>
      <c r="J596">
        <v>109567</v>
      </c>
      <c r="K596">
        <v>0.908933976232845</v>
      </c>
      <c r="L596">
        <f ca="1">E596*0.621371</f>
        <v>211.88751099999999</v>
      </c>
      <c r="M596">
        <f>F596*0.621371</f>
        <v>223.69355999999999</v>
      </c>
      <c r="N596">
        <v>109567</v>
      </c>
      <c r="O596">
        <f t="shared" ca="1" si="64"/>
        <v>0.94722222222222219</v>
      </c>
    </row>
    <row r="597" spans="1:15" x14ac:dyDescent="0.2">
      <c r="A597" t="str">
        <f ca="1">IFERROR(__xludf.DUMMYFUNCTION("""COMPUTED_VALUE"""),"mi")</f>
        <v>mi</v>
      </c>
      <c r="B597" t="str">
        <f ca="1">IFERROR(__xludf.DUMMYFUNCTION("""COMPUTED_VALUE"""),"Model S 85")</f>
        <v>Model S 85</v>
      </c>
      <c r="C597">
        <f ca="1">IFERROR(__xludf.DUMMYFUNCTION("""COMPUTED_VALUE"""),265)</f>
        <v>265</v>
      </c>
      <c r="D597">
        <f ca="1">IFERROR(__xludf.DUMMYFUNCTION("""COMPUTED_VALUE"""),75612)</f>
        <v>75612</v>
      </c>
      <c r="E597">
        <f ca="1">IFERROR(__xludf.DUMMYFUNCTION("""COMPUTED_VALUE"""),252)</f>
        <v>252</v>
      </c>
      <c r="F597">
        <v>266</v>
      </c>
      <c r="G597">
        <v>0.94736842105263153</v>
      </c>
      <c r="H597">
        <v>75612</v>
      </c>
      <c r="I597">
        <v>121686</v>
      </c>
      <c r="J597">
        <v>75612</v>
      </c>
      <c r="K597">
        <v>0.93048945664243687</v>
      </c>
      <c r="L597">
        <f ca="1">IFERROR(__xludf.DUMMYFUNCTION("""COMPUTED_VALUE"""),252)</f>
        <v>252</v>
      </c>
      <c r="M597">
        <v>266</v>
      </c>
      <c r="N597">
        <v>75612</v>
      </c>
      <c r="O597">
        <f t="shared" ca="1" si="64"/>
        <v>0.94736842105263153</v>
      </c>
    </row>
    <row r="598" spans="1:15" x14ac:dyDescent="0.2">
      <c r="A598" t="str">
        <f ca="1">IFERROR(__xludf.DUMMYFUNCTION("""COMPUTED_VALUE"""),"mi")</f>
        <v>mi</v>
      </c>
      <c r="B598" t="str">
        <f ca="1">IFERROR(__xludf.DUMMYFUNCTION("""COMPUTED_VALUE"""),"Model S 85")</f>
        <v>Model S 85</v>
      </c>
      <c r="C598">
        <f ca="1">IFERROR(__xludf.DUMMYFUNCTION("""COMPUTED_VALUE"""),270)</f>
        <v>270</v>
      </c>
      <c r="D598">
        <f ca="1">IFERROR(__xludf.DUMMYFUNCTION("""COMPUTED_VALUE"""),61874)</f>
        <v>61874</v>
      </c>
      <c r="E598">
        <f ca="1">IFERROR(__xludf.DUMMYFUNCTION("""COMPUTED_VALUE"""),252)</f>
        <v>252</v>
      </c>
      <c r="F598">
        <v>266</v>
      </c>
      <c r="G598">
        <v>0.94736842105263153</v>
      </c>
      <c r="H598">
        <v>61874</v>
      </c>
      <c r="I598">
        <v>99577</v>
      </c>
      <c r="J598">
        <v>61874</v>
      </c>
      <c r="K598">
        <v>0.94097587660357684</v>
      </c>
      <c r="L598">
        <f ca="1">IFERROR(__xludf.DUMMYFUNCTION("""COMPUTED_VALUE"""),252)</f>
        <v>252</v>
      </c>
      <c r="M598">
        <v>266</v>
      </c>
      <c r="N598">
        <v>61874</v>
      </c>
      <c r="O598">
        <f t="shared" ca="1" si="64"/>
        <v>0.94736842105263153</v>
      </c>
    </row>
    <row r="599" spans="1:15" x14ac:dyDescent="0.2">
      <c r="A599" t="str">
        <f ca="1">IFERROR(__xludf.DUMMYFUNCTION("""COMPUTED_VALUE"""),"mi")</f>
        <v>mi</v>
      </c>
      <c r="B599" t="str">
        <f ca="1">IFERROR(__xludf.DUMMYFUNCTION("""COMPUTED_VALUE"""),"Model S 85")</f>
        <v>Model S 85</v>
      </c>
      <c r="C599">
        <f ca="1">IFERROR(__xludf.DUMMYFUNCTION("""COMPUTED_VALUE"""),270)</f>
        <v>270</v>
      </c>
      <c r="D599">
        <f ca="1">IFERROR(__xludf.DUMMYFUNCTION("""COMPUTED_VALUE"""),61535)</f>
        <v>61535</v>
      </c>
      <c r="E599">
        <f ca="1">IFERROR(__xludf.DUMMYFUNCTION("""COMPUTED_VALUE"""),252)</f>
        <v>252</v>
      </c>
      <c r="F599">
        <v>266</v>
      </c>
      <c r="G599">
        <v>0.94736842105263153</v>
      </c>
      <c r="H599">
        <v>61535</v>
      </c>
      <c r="I599">
        <v>99031</v>
      </c>
      <c r="J599">
        <v>61535</v>
      </c>
      <c r="K599">
        <v>0.94124734178290437</v>
      </c>
      <c r="L599">
        <f ca="1">IFERROR(__xludf.DUMMYFUNCTION("""COMPUTED_VALUE"""),252)</f>
        <v>252</v>
      </c>
      <c r="M599">
        <v>266</v>
      </c>
      <c r="N599">
        <v>61535</v>
      </c>
      <c r="O599">
        <f t="shared" ca="1" si="64"/>
        <v>0.94736842105263153</v>
      </c>
    </row>
    <row r="600" spans="1:15" x14ac:dyDescent="0.2">
      <c r="A600" t="str">
        <f ca="1">IFERROR(__xludf.DUMMYFUNCTION("""COMPUTED_VALUE"""),"mi")</f>
        <v>mi</v>
      </c>
      <c r="B600" t="str">
        <f ca="1">IFERROR(__xludf.DUMMYFUNCTION("""COMPUTED_VALUE"""),"Model S 85")</f>
        <v>Model S 85</v>
      </c>
      <c r="C600">
        <f ca="1">IFERROR(__xludf.DUMMYFUNCTION("""COMPUTED_VALUE"""),270)</f>
        <v>270</v>
      </c>
      <c r="D600">
        <f ca="1">IFERROR(__xludf.DUMMYFUNCTION("""COMPUTED_VALUE"""),60373)</f>
        <v>60373</v>
      </c>
      <c r="E600">
        <f ca="1">IFERROR(__xludf.DUMMYFUNCTION("""COMPUTED_VALUE"""),252)</f>
        <v>252</v>
      </c>
      <c r="F600">
        <v>266</v>
      </c>
      <c r="G600">
        <v>0.94736842105263153</v>
      </c>
      <c r="H600">
        <v>60373</v>
      </c>
      <c r="I600">
        <v>97161</v>
      </c>
      <c r="J600">
        <v>60373</v>
      </c>
      <c r="K600">
        <v>0.94218160640868398</v>
      </c>
      <c r="L600">
        <f ca="1">IFERROR(__xludf.DUMMYFUNCTION("""COMPUTED_VALUE"""),252)</f>
        <v>252</v>
      </c>
      <c r="M600">
        <v>266</v>
      </c>
      <c r="N600">
        <v>60373</v>
      </c>
      <c r="O600">
        <f t="shared" ca="1" si="64"/>
        <v>0.94736842105263153</v>
      </c>
    </row>
    <row r="601" spans="1:15" x14ac:dyDescent="0.2">
      <c r="A601" t="str">
        <f ca="1">IFERROR(__xludf.DUMMYFUNCTION("""COMPUTED_VALUE"""),"mi")</f>
        <v>mi</v>
      </c>
      <c r="B601" t="str">
        <f ca="1">IFERROR(__xludf.DUMMYFUNCTION("""COMPUTED_VALUE"""),"Model S 85")</f>
        <v>Model S 85</v>
      </c>
      <c r="C601">
        <f ca="1">IFERROR(__xludf.DUMMYFUNCTION("""COMPUTED_VALUE"""),270)</f>
        <v>270</v>
      </c>
      <c r="D601">
        <f ca="1">IFERROR(__xludf.DUMMYFUNCTION("""COMPUTED_VALUE"""),56833)</f>
        <v>56833</v>
      </c>
      <c r="E601">
        <f ca="1">IFERROR(__xludf.DUMMYFUNCTION("""COMPUTED_VALUE"""),252)</f>
        <v>252</v>
      </c>
      <c r="F601">
        <v>266</v>
      </c>
      <c r="G601">
        <v>0.94736842105263153</v>
      </c>
      <c r="H601">
        <v>56833</v>
      </c>
      <c r="I601">
        <v>91464</v>
      </c>
      <c r="J601">
        <v>56833</v>
      </c>
      <c r="K601">
        <v>0.94507087482004803</v>
      </c>
      <c r="L601">
        <f ca="1">IFERROR(__xludf.DUMMYFUNCTION("""COMPUTED_VALUE"""),252)</f>
        <v>252</v>
      </c>
      <c r="M601">
        <v>266</v>
      </c>
      <c r="N601">
        <v>56833</v>
      </c>
      <c r="O601">
        <f t="shared" ca="1" si="64"/>
        <v>0.94736842105263153</v>
      </c>
    </row>
    <row r="602" spans="1:15" x14ac:dyDescent="0.2">
      <c r="A602" t="str">
        <f ca="1">IFERROR(__xludf.DUMMYFUNCTION("""COMPUTED_VALUE"""),"mi")</f>
        <v>mi</v>
      </c>
      <c r="B602" t="str">
        <f ca="1">IFERROR(__xludf.DUMMYFUNCTION("""COMPUTED_VALUE"""),"Model S 85")</f>
        <v>Model S 85</v>
      </c>
      <c r="C602">
        <f ca="1">IFERROR(__xludf.DUMMYFUNCTION("""COMPUTED_VALUE"""),270)</f>
        <v>270</v>
      </c>
      <c r="D602">
        <f ca="1">IFERROR(__xludf.DUMMYFUNCTION("""COMPUTED_VALUE"""),55770)</f>
        <v>55770</v>
      </c>
      <c r="E602">
        <f ca="1">IFERROR(__xludf.DUMMYFUNCTION("""COMPUTED_VALUE"""),252)</f>
        <v>252</v>
      </c>
      <c r="F602">
        <v>266</v>
      </c>
      <c r="G602">
        <v>0.94736842105263153</v>
      </c>
      <c r="H602">
        <v>55770</v>
      </c>
      <c r="I602">
        <v>89753</v>
      </c>
      <c r="J602">
        <v>55770</v>
      </c>
      <c r="K602">
        <v>0.94595122016890854</v>
      </c>
      <c r="L602">
        <f ca="1">IFERROR(__xludf.DUMMYFUNCTION("""COMPUTED_VALUE"""),252)</f>
        <v>252</v>
      </c>
      <c r="M602">
        <v>266</v>
      </c>
      <c r="N602">
        <v>55770</v>
      </c>
      <c r="O602">
        <f t="shared" ca="1" si="64"/>
        <v>0.94736842105263153</v>
      </c>
    </row>
    <row r="603" spans="1:15" x14ac:dyDescent="0.2">
      <c r="A603" t="str">
        <f ca="1">IFERROR(__xludf.DUMMYFUNCTION("""COMPUTED_VALUE"""),"mi")</f>
        <v>mi</v>
      </c>
      <c r="B603" t="str">
        <f ca="1">IFERROR(__xludf.DUMMYFUNCTION("""COMPUTED_VALUE"""),"Model S 85")</f>
        <v>Model S 85</v>
      </c>
      <c r="C603">
        <f ca="1">IFERROR(__xludf.DUMMYFUNCTION("""COMPUTED_VALUE"""),270)</f>
        <v>270</v>
      </c>
      <c r="D603">
        <f ca="1">IFERROR(__xludf.DUMMYFUNCTION("""COMPUTED_VALUE"""),55213)</f>
        <v>55213</v>
      </c>
      <c r="E603">
        <f ca="1">IFERROR(__xludf.DUMMYFUNCTION("""COMPUTED_VALUE"""),252)</f>
        <v>252</v>
      </c>
      <c r="F603">
        <v>266</v>
      </c>
      <c r="G603">
        <v>0.94736842105263153</v>
      </c>
      <c r="H603">
        <v>55213</v>
      </c>
      <c r="I603">
        <v>88857</v>
      </c>
      <c r="J603">
        <v>55213</v>
      </c>
      <c r="K603">
        <v>0.94641454591272267</v>
      </c>
      <c r="L603">
        <f ca="1">IFERROR(__xludf.DUMMYFUNCTION("""COMPUTED_VALUE"""),252)</f>
        <v>252</v>
      </c>
      <c r="M603">
        <v>266</v>
      </c>
      <c r="N603">
        <v>55213</v>
      </c>
      <c r="O603">
        <f t="shared" ca="1" si="64"/>
        <v>0.94736842105263153</v>
      </c>
    </row>
    <row r="604" spans="1:15" x14ac:dyDescent="0.2">
      <c r="A604" t="str">
        <f ca="1">IFERROR(__xludf.DUMMYFUNCTION("""COMPUTED_VALUE"""),"mi")</f>
        <v>mi</v>
      </c>
      <c r="B604" t="str">
        <f ca="1">IFERROR(__xludf.DUMMYFUNCTION("""COMPUTED_VALUE"""),"Model S 85")</f>
        <v>Model S 85</v>
      </c>
      <c r="C604">
        <f ca="1">IFERROR(__xludf.DUMMYFUNCTION("""COMPUTED_VALUE"""),270)</f>
        <v>270</v>
      </c>
      <c r="D604">
        <f ca="1">IFERROR(__xludf.DUMMYFUNCTION("""COMPUTED_VALUE"""),50510)</f>
        <v>50510</v>
      </c>
      <c r="E604">
        <f ca="1">IFERROR(__xludf.DUMMYFUNCTION("""COMPUTED_VALUE"""),252)</f>
        <v>252</v>
      </c>
      <c r="F604">
        <v>266</v>
      </c>
      <c r="G604">
        <v>0.94736842105263153</v>
      </c>
      <c r="H604">
        <v>50510</v>
      </c>
      <c r="I604">
        <v>81288</v>
      </c>
      <c r="J604">
        <v>50510</v>
      </c>
      <c r="K604">
        <v>0.95039176516652102</v>
      </c>
      <c r="L604">
        <f ca="1">IFERROR(__xludf.DUMMYFUNCTION("""COMPUTED_VALUE"""),252)</f>
        <v>252</v>
      </c>
      <c r="M604">
        <v>266</v>
      </c>
      <c r="N604">
        <v>50510</v>
      </c>
      <c r="O604">
        <f t="shared" ca="1" si="64"/>
        <v>0.94736842105263153</v>
      </c>
    </row>
    <row r="605" spans="1:15" x14ac:dyDescent="0.2">
      <c r="A605" t="str">
        <f ca="1">IFERROR(__xludf.DUMMYFUNCTION("""COMPUTED_VALUE"""),"mi")</f>
        <v>mi</v>
      </c>
      <c r="B605" t="str">
        <f ca="1">IFERROR(__xludf.DUMMYFUNCTION("""COMPUTED_VALUE"""),"Model S P85")</f>
        <v>Model S P85</v>
      </c>
      <c r="C605">
        <f ca="1">IFERROR(__xludf.DUMMYFUNCTION("""COMPUTED_VALUE"""),262)</f>
        <v>262</v>
      </c>
      <c r="D605">
        <f ca="1">IFERROR(__xludf.DUMMYFUNCTION("""COMPUTED_VALUE"""),55562)</f>
        <v>55562</v>
      </c>
      <c r="E605">
        <f ca="1">IFERROR(__xludf.DUMMYFUNCTION("""COMPUTED_VALUE"""),252)</f>
        <v>252</v>
      </c>
      <c r="F605">
        <v>266</v>
      </c>
      <c r="G605">
        <v>0.94736842105263153</v>
      </c>
      <c r="H605">
        <v>55562</v>
      </c>
      <c r="I605">
        <v>89418</v>
      </c>
      <c r="J605">
        <v>55562</v>
      </c>
      <c r="K605">
        <v>0.94612426410902994</v>
      </c>
      <c r="L605">
        <f ca="1">IFERROR(__xludf.DUMMYFUNCTION("""COMPUTED_VALUE"""),252)</f>
        <v>252</v>
      </c>
      <c r="M605">
        <v>266</v>
      </c>
      <c r="N605">
        <v>55562</v>
      </c>
      <c r="O605">
        <f t="shared" ca="1" si="64"/>
        <v>0.94736842105263153</v>
      </c>
    </row>
    <row r="606" spans="1:15" x14ac:dyDescent="0.2">
      <c r="A606" t="str">
        <f ca="1">IFERROR(__xludf.DUMMYFUNCTION("""COMPUTED_VALUE"""),"mi")</f>
        <v>mi</v>
      </c>
      <c r="B606" t="str">
        <f ca="1">IFERROR(__xludf.DUMMYFUNCTION("""COMPUTED_VALUE"""),"Model S 85")</f>
        <v>Model S 85</v>
      </c>
      <c r="C606">
        <f ca="1">IFERROR(__xludf.DUMMYFUNCTION("""COMPUTED_VALUE"""),270)</f>
        <v>270</v>
      </c>
      <c r="D606">
        <f ca="1">IFERROR(__xludf.DUMMYFUNCTION("""COMPUTED_VALUE"""),41800)</f>
        <v>41800</v>
      </c>
      <c r="E606">
        <f ca="1">IFERROR(__xludf.DUMMYFUNCTION("""COMPUTED_VALUE"""),252)</f>
        <v>252</v>
      </c>
      <c r="F606">
        <v>266</v>
      </c>
      <c r="G606">
        <v>0.94736842105263153</v>
      </c>
      <c r="H606">
        <v>41800</v>
      </c>
      <c r="I606">
        <v>67271</v>
      </c>
      <c r="J606">
        <v>41800</v>
      </c>
      <c r="K606">
        <v>0.95805334523211194</v>
      </c>
      <c r="L606">
        <f ca="1">IFERROR(__xludf.DUMMYFUNCTION("""COMPUTED_VALUE"""),252)</f>
        <v>252</v>
      </c>
      <c r="M606">
        <v>266</v>
      </c>
      <c r="N606">
        <v>41800</v>
      </c>
      <c r="O606">
        <f t="shared" ca="1" si="64"/>
        <v>0.94736842105263153</v>
      </c>
    </row>
    <row r="607" spans="1:15" x14ac:dyDescent="0.2">
      <c r="A607" t="str">
        <f ca="1">IFERROR(__xludf.DUMMYFUNCTION("""COMPUTED_VALUE"""),"mi")</f>
        <v>mi</v>
      </c>
      <c r="B607" t="str">
        <f ca="1">IFERROR(__xludf.DUMMYFUNCTION("""COMPUTED_VALUE"""),"Model S 85")</f>
        <v>Model S 85</v>
      </c>
      <c r="C607">
        <f ca="1">IFERROR(__xludf.DUMMYFUNCTION("""COMPUTED_VALUE"""),264)</f>
        <v>264</v>
      </c>
      <c r="D607">
        <f ca="1">IFERROR(__xludf.DUMMYFUNCTION("""COMPUTED_VALUE"""),9640)</f>
        <v>9640</v>
      </c>
      <c r="E607">
        <f ca="1">IFERROR(__xludf.DUMMYFUNCTION("""COMPUTED_VALUE"""),252)</f>
        <v>252</v>
      </c>
      <c r="F607">
        <v>266</v>
      </c>
      <c r="G607">
        <v>0.94736842105263153</v>
      </c>
      <c r="H607">
        <v>9640</v>
      </c>
      <c r="I607">
        <v>15514</v>
      </c>
      <c r="J607">
        <v>9640</v>
      </c>
      <c r="K607">
        <v>0.98958486460755868</v>
      </c>
      <c r="L607">
        <f ca="1">IFERROR(__xludf.DUMMYFUNCTION("""COMPUTED_VALUE"""),252)</f>
        <v>252</v>
      </c>
      <c r="M607">
        <v>266</v>
      </c>
      <c r="N607">
        <v>9640</v>
      </c>
      <c r="O607">
        <f t="shared" ca="1" si="64"/>
        <v>0.94736842105263153</v>
      </c>
    </row>
    <row r="608" spans="1:15" x14ac:dyDescent="0.2">
      <c r="A608" t="str">
        <f ca="1">IFERROR(__xludf.DUMMYFUNCTION("""COMPUTED_VALUE"""),"mi")</f>
        <v>mi</v>
      </c>
      <c r="B608" t="str">
        <f ca="1">IFERROR(__xludf.DUMMYFUNCTION("""COMPUTED_VALUE"""),"Model S 85")</f>
        <v>Model S 85</v>
      </c>
      <c r="C608">
        <f ca="1">IFERROR(__xludf.DUMMYFUNCTION("""COMPUTED_VALUE"""),270)</f>
        <v>270</v>
      </c>
      <c r="D608">
        <f ca="1">IFERROR(__xludf.DUMMYFUNCTION("""COMPUTED_VALUE"""),39139)</f>
        <v>39139</v>
      </c>
      <c r="E608">
        <f ca="1">IFERROR(__xludf.DUMMYFUNCTION("""COMPUTED_VALUE"""),252)</f>
        <v>252</v>
      </c>
      <c r="F608">
        <v>266</v>
      </c>
      <c r="G608">
        <v>0.94736842105263153</v>
      </c>
      <c r="H608">
        <v>39139</v>
      </c>
      <c r="I608">
        <v>62988</v>
      </c>
      <c r="J608">
        <v>39139</v>
      </c>
      <c r="K608">
        <v>0.96047037549427261</v>
      </c>
      <c r="L608">
        <f ca="1">IFERROR(__xludf.DUMMYFUNCTION("""COMPUTED_VALUE"""),252)</f>
        <v>252</v>
      </c>
      <c r="M608">
        <v>266</v>
      </c>
      <c r="N608">
        <v>39139</v>
      </c>
      <c r="O608">
        <f t="shared" ca="1" si="64"/>
        <v>0.94736842105263153</v>
      </c>
    </row>
    <row r="609" spans="1:15" x14ac:dyDescent="0.2">
      <c r="A609" t="str">
        <f ca="1">IFERROR(__xludf.DUMMYFUNCTION("""COMPUTED_VALUE"""),"mi")</f>
        <v>mi</v>
      </c>
      <c r="B609" t="str">
        <f ca="1">IFERROR(__xludf.DUMMYFUNCTION("""COMPUTED_VALUE"""),"Model S 85")</f>
        <v>Model S 85</v>
      </c>
      <c r="D609">
        <f ca="1">IFERROR(__xludf.DUMMYFUNCTION("""COMPUTED_VALUE"""),46335)</f>
        <v>46335</v>
      </c>
      <c r="E609">
        <f ca="1">IFERROR(__xludf.DUMMYFUNCTION("""COMPUTED_VALUE"""),252)</f>
        <v>252</v>
      </c>
      <c r="F609">
        <v>266</v>
      </c>
      <c r="G609">
        <v>0.94736842105263153</v>
      </c>
      <c r="H609">
        <v>46335</v>
      </c>
      <c r="I609">
        <v>74569</v>
      </c>
      <c r="J609">
        <v>46335</v>
      </c>
      <c r="K609">
        <v>0.95401657583496979</v>
      </c>
      <c r="L609">
        <f ca="1">IFERROR(__xludf.DUMMYFUNCTION("""COMPUTED_VALUE"""),252)</f>
        <v>252</v>
      </c>
      <c r="M609">
        <v>266</v>
      </c>
      <c r="N609">
        <v>46335</v>
      </c>
      <c r="O609">
        <f t="shared" ca="1" si="64"/>
        <v>0.94736842105263153</v>
      </c>
    </row>
    <row r="610" spans="1:15" x14ac:dyDescent="0.2">
      <c r="A610" t="str">
        <f ca="1">IFERROR(__xludf.DUMMYFUNCTION("""COMPUTED_VALUE"""),"mi")</f>
        <v>mi</v>
      </c>
      <c r="B610" t="str">
        <f ca="1">IFERROR(__xludf.DUMMYFUNCTION("""COMPUTED_VALUE"""),"Model 3 LR")</f>
        <v>Model 3 LR</v>
      </c>
      <c r="C610">
        <f ca="1">IFERROR(__xludf.DUMMYFUNCTION("""COMPUTED_VALUE"""),324)</f>
        <v>324</v>
      </c>
      <c r="D610">
        <f ca="1">IFERROR(__xludf.DUMMYFUNCTION("""COMPUTED_VALUE"""),38500)</f>
        <v>38500</v>
      </c>
      <c r="E610">
        <f ca="1">IFERROR(__xludf.DUMMYFUNCTION("""COMPUTED_VALUE"""),308)</f>
        <v>308</v>
      </c>
      <c r="F610">
        <v>325</v>
      </c>
      <c r="G610">
        <v>0.94769230769230772</v>
      </c>
      <c r="H610">
        <v>38500</v>
      </c>
      <c r="I610">
        <v>61960</v>
      </c>
      <c r="J610">
        <v>38500</v>
      </c>
      <c r="K610">
        <v>0.96105576166385998</v>
      </c>
      <c r="L610">
        <f ca="1">IFERROR(__xludf.DUMMYFUNCTION("""COMPUTED_VALUE"""),308)</f>
        <v>308</v>
      </c>
      <c r="M610">
        <v>325</v>
      </c>
      <c r="N610">
        <v>38500</v>
      </c>
      <c r="O610">
        <f t="shared" ca="1" si="64"/>
        <v>0.94769230769230772</v>
      </c>
    </row>
    <row r="611" spans="1:15" x14ac:dyDescent="0.2">
      <c r="A611" t="str">
        <f ca="1">IFERROR(__xludf.DUMMYFUNCTION("""COMPUTED_VALUE"""),"mi")</f>
        <v>mi</v>
      </c>
      <c r="B611" t="str">
        <f ca="1">IFERROR(__xludf.DUMMYFUNCTION("""COMPUTED_VALUE"""),"Model 3 LR")</f>
        <v>Model 3 LR</v>
      </c>
      <c r="D611">
        <f ca="1">IFERROR(__xludf.DUMMYFUNCTION("""COMPUTED_VALUE"""),26000)</f>
        <v>26000</v>
      </c>
      <c r="E611">
        <f ca="1">IFERROR(__xludf.DUMMYFUNCTION("""COMPUTED_VALUE"""),308)</f>
        <v>308</v>
      </c>
      <c r="F611">
        <v>325</v>
      </c>
      <c r="G611">
        <v>0.94769230769230772</v>
      </c>
      <c r="H611">
        <v>26000</v>
      </c>
      <c r="I611">
        <v>41843</v>
      </c>
      <c r="J611">
        <v>26000</v>
      </c>
      <c r="K611">
        <v>0.97291663633804459</v>
      </c>
      <c r="L611">
        <f ca="1">IFERROR(__xludf.DUMMYFUNCTION("""COMPUTED_VALUE"""),308)</f>
        <v>308</v>
      </c>
      <c r="M611">
        <v>325</v>
      </c>
      <c r="N611">
        <v>26000</v>
      </c>
      <c r="O611">
        <f t="shared" ca="1" si="64"/>
        <v>0.94769230769230772</v>
      </c>
    </row>
    <row r="612" spans="1:15" x14ac:dyDescent="0.2">
      <c r="A612" t="str">
        <f ca="1">IFERROR(__xludf.DUMMYFUNCTION("""COMPUTED_VALUE"""),"mi")</f>
        <v>mi</v>
      </c>
      <c r="B612" t="str">
        <f ca="1">IFERROR(__xludf.DUMMYFUNCTION("""COMPUTED_VALUE"""),"Model 3 LR")</f>
        <v>Model 3 LR</v>
      </c>
      <c r="C612">
        <f ca="1">IFERROR(__xludf.DUMMYFUNCTION("""COMPUTED_VALUE"""),312)</f>
        <v>312</v>
      </c>
      <c r="D612">
        <f ca="1">IFERROR(__xludf.DUMMYFUNCTION("""COMPUTED_VALUE"""),37000)</f>
        <v>37000</v>
      </c>
      <c r="E612">
        <f ca="1">IFERROR(__xludf.DUMMYFUNCTION("""COMPUTED_VALUE"""),308)</f>
        <v>308</v>
      </c>
      <c r="F612">
        <v>325</v>
      </c>
      <c r="G612">
        <v>0.94769230769230772</v>
      </c>
      <c r="H612">
        <v>37000</v>
      </c>
      <c r="I612">
        <v>59546</v>
      </c>
      <c r="J612">
        <v>37000</v>
      </c>
      <c r="K612">
        <v>0.96243836638366242</v>
      </c>
      <c r="L612">
        <f ca="1">IFERROR(__xludf.DUMMYFUNCTION("""COMPUTED_VALUE"""),308)</f>
        <v>308</v>
      </c>
      <c r="M612">
        <v>325</v>
      </c>
      <c r="N612">
        <v>37000</v>
      </c>
      <c r="O612">
        <f t="shared" ca="1" si="64"/>
        <v>0.94769230769230772</v>
      </c>
    </row>
    <row r="613" spans="1:15" x14ac:dyDescent="0.2">
      <c r="A613" t="str">
        <f ca="1">IFERROR(__xludf.DUMMYFUNCTION("""COMPUTED_VALUE"""),"km")</f>
        <v>km</v>
      </c>
      <c r="B613" t="str">
        <f ca="1">IFERROR(__xludf.DUMMYFUNCTION("""COMPUTED_VALUE"""),"Model S P85D")</f>
        <v>Model S P85D</v>
      </c>
      <c r="D613">
        <f ca="1">IFERROR(__xludf.DUMMYFUNCTION("""COMPUTED_VALUE"""),75678)</f>
        <v>75678</v>
      </c>
      <c r="E613">
        <f ca="1">IFERROR(__xludf.DUMMYFUNCTION("""COMPUTED_VALUE"""),382)</f>
        <v>382</v>
      </c>
      <c r="F613">
        <v>403</v>
      </c>
      <c r="G613">
        <v>0.94789081885856075</v>
      </c>
      <c r="H613">
        <v>47024</v>
      </c>
      <c r="I613">
        <v>75678</v>
      </c>
      <c r="J613">
        <v>47024</v>
      </c>
      <c r="K613">
        <v>0.953412208609</v>
      </c>
      <c r="L613">
        <f t="shared" ref="L613:L623" ca="1" si="65">E613*0.621371</f>
        <v>237.363722</v>
      </c>
      <c r="M613">
        <f t="shared" ref="M613:M623" si="66">F613*0.621371</f>
        <v>250.41251299999999</v>
      </c>
      <c r="N613">
        <v>47024</v>
      </c>
      <c r="O613">
        <f t="shared" ca="1" si="64"/>
        <v>0.94789081885856086</v>
      </c>
    </row>
    <row r="614" spans="1:15" x14ac:dyDescent="0.2">
      <c r="A614" t="str">
        <f ca="1">IFERROR(__xludf.DUMMYFUNCTION("""COMPUTED_VALUE"""),"km")</f>
        <v>km</v>
      </c>
      <c r="B614" t="str">
        <f ca="1">IFERROR(__xludf.DUMMYFUNCTION("""COMPUTED_VALUE"""),"Model S P85D")</f>
        <v>Model S P85D</v>
      </c>
      <c r="C614">
        <f ca="1">IFERROR(__xludf.DUMMYFUNCTION("""COMPUTED_VALUE"""),406)</f>
        <v>406</v>
      </c>
      <c r="D614">
        <f ca="1">IFERROR(__xludf.DUMMYFUNCTION("""COMPUTED_VALUE"""),54460)</f>
        <v>54460</v>
      </c>
      <c r="E614">
        <f ca="1">IFERROR(__xludf.DUMMYFUNCTION("""COMPUTED_VALUE"""),382)</f>
        <v>382</v>
      </c>
      <c r="F614">
        <v>403</v>
      </c>
      <c r="G614">
        <v>0.94789081885856075</v>
      </c>
      <c r="H614">
        <v>33840</v>
      </c>
      <c r="I614">
        <v>54460</v>
      </c>
      <c r="J614">
        <v>33840</v>
      </c>
      <c r="K614">
        <v>0.96538782491325359</v>
      </c>
      <c r="L614">
        <f t="shared" ca="1" si="65"/>
        <v>237.363722</v>
      </c>
      <c r="M614">
        <f t="shared" si="66"/>
        <v>250.41251299999999</v>
      </c>
      <c r="N614">
        <v>33840</v>
      </c>
      <c r="O614">
        <f t="shared" ca="1" si="64"/>
        <v>0.94789081885856086</v>
      </c>
    </row>
    <row r="615" spans="1:15" x14ac:dyDescent="0.2">
      <c r="A615" t="str">
        <f ca="1">IFERROR(__xludf.DUMMYFUNCTION("""COMPUTED_VALUE"""),"km")</f>
        <v>km</v>
      </c>
      <c r="B615" t="str">
        <f ca="1">IFERROR(__xludf.DUMMYFUNCTION("""COMPUTED_VALUE"""),"Model S P85D")</f>
        <v>Model S P85D</v>
      </c>
      <c r="C615">
        <f ca="1">IFERROR(__xludf.DUMMYFUNCTION("""COMPUTED_VALUE"""),406)</f>
        <v>406</v>
      </c>
      <c r="D615">
        <f ca="1">IFERROR(__xludf.DUMMYFUNCTION("""COMPUTED_VALUE"""),32110)</f>
        <v>32110</v>
      </c>
      <c r="E615">
        <f ca="1">IFERROR(__xludf.DUMMYFUNCTION("""COMPUTED_VALUE"""),382)</f>
        <v>382</v>
      </c>
      <c r="F615">
        <v>403</v>
      </c>
      <c r="G615">
        <v>0.94789081885856075</v>
      </c>
      <c r="H615">
        <v>19952</v>
      </c>
      <c r="I615">
        <v>32110</v>
      </c>
      <c r="J615">
        <v>19952</v>
      </c>
      <c r="K615">
        <v>0.97892884380813538</v>
      </c>
      <c r="L615">
        <f t="shared" ca="1" si="65"/>
        <v>237.363722</v>
      </c>
      <c r="M615">
        <f t="shared" si="66"/>
        <v>250.41251299999999</v>
      </c>
      <c r="N615">
        <v>19952</v>
      </c>
      <c r="O615">
        <f t="shared" ca="1" si="64"/>
        <v>0.94789081885856086</v>
      </c>
    </row>
    <row r="616" spans="1:15" x14ac:dyDescent="0.2">
      <c r="A616" t="str">
        <f ca="1">IFERROR(__xludf.DUMMYFUNCTION("""COMPUTED_VALUE"""),"km")</f>
        <v>km</v>
      </c>
      <c r="B616" t="str">
        <f ca="1">IFERROR(__xludf.DUMMYFUNCTION("""COMPUTED_VALUE"""),"Model 3 LR AWD")</f>
        <v>Model 3 LR AWD</v>
      </c>
      <c r="C616">
        <f ca="1">IFERROR(__xludf.DUMMYFUNCTION("""COMPUTED_VALUE"""),499)</f>
        <v>499</v>
      </c>
      <c r="D616">
        <f ca="1">IFERROR(__xludf.DUMMYFUNCTION("""COMPUTED_VALUE"""),35000)</f>
        <v>35000</v>
      </c>
      <c r="E616">
        <f ca="1">IFERROR(__xludf.DUMMYFUNCTION("""COMPUTED_VALUE"""),473)</f>
        <v>473</v>
      </c>
      <c r="F616">
        <v>499</v>
      </c>
      <c r="G616">
        <v>0.94789579158316628</v>
      </c>
      <c r="H616">
        <v>21748</v>
      </c>
      <c r="I616">
        <v>35000</v>
      </c>
      <c r="J616">
        <v>21748</v>
      </c>
      <c r="K616">
        <v>0.97712521121457918</v>
      </c>
      <c r="L616">
        <f t="shared" ca="1" si="65"/>
        <v>293.90848299999999</v>
      </c>
      <c r="M616">
        <f t="shared" si="66"/>
        <v>310.06412899999998</v>
      </c>
      <c r="N616">
        <v>21748</v>
      </c>
      <c r="O616">
        <f t="shared" ca="1" si="64"/>
        <v>0.94789579158316639</v>
      </c>
    </row>
    <row r="617" spans="1:15" x14ac:dyDescent="0.2">
      <c r="A617" t="str">
        <f ca="1">IFERROR(__xludf.DUMMYFUNCTION("""COMPUTED_VALUE"""),"km")</f>
        <v>km</v>
      </c>
      <c r="B617" t="str">
        <f ca="1">IFERROR(__xludf.DUMMYFUNCTION("""COMPUTED_VALUE"""),"Model 3 LR AWD")</f>
        <v>Model 3 LR AWD</v>
      </c>
      <c r="C617">
        <f ca="1">IFERROR(__xludf.DUMMYFUNCTION("""COMPUTED_VALUE"""),499)</f>
        <v>499</v>
      </c>
      <c r="D617">
        <f ca="1">IFERROR(__xludf.DUMMYFUNCTION("""COMPUTED_VALUE"""),23250)</f>
        <v>23250</v>
      </c>
      <c r="E617">
        <f ca="1">IFERROR(__xludf.DUMMYFUNCTION("""COMPUTED_VALUE"""),473)</f>
        <v>473</v>
      </c>
      <c r="F617">
        <v>499</v>
      </c>
      <c r="G617">
        <v>0.94789579158316628</v>
      </c>
      <c r="H617">
        <v>14447</v>
      </c>
      <c r="I617">
        <v>23250</v>
      </c>
      <c r="J617">
        <v>14447</v>
      </c>
      <c r="K617">
        <v>0.98455470965871705</v>
      </c>
      <c r="L617">
        <f t="shared" ca="1" si="65"/>
        <v>293.90848299999999</v>
      </c>
      <c r="M617">
        <f t="shared" si="66"/>
        <v>310.06412899999998</v>
      </c>
      <c r="N617">
        <v>14447</v>
      </c>
      <c r="O617">
        <f t="shared" ca="1" si="64"/>
        <v>0.94789579158316639</v>
      </c>
    </row>
    <row r="618" spans="1:15" x14ac:dyDescent="0.2">
      <c r="A618" t="str">
        <f ca="1">IFERROR(__xludf.DUMMYFUNCTION("""COMPUTED_VALUE"""),"km")</f>
        <v>km</v>
      </c>
      <c r="B618" t="str">
        <f ca="1">IFERROR(__xludf.DUMMYFUNCTION("""COMPUTED_VALUE"""),"Model 3 P")</f>
        <v>Model 3 P</v>
      </c>
      <c r="D618">
        <f ca="1">IFERROR(__xludf.DUMMYFUNCTION("""COMPUTED_VALUE"""),42306)</f>
        <v>42306</v>
      </c>
      <c r="E618">
        <f ca="1">IFERROR(__xludf.DUMMYFUNCTION("""COMPUTED_VALUE"""),473)</f>
        <v>473</v>
      </c>
      <c r="F618">
        <v>499</v>
      </c>
      <c r="G618">
        <v>0.94789579158316628</v>
      </c>
      <c r="H618">
        <v>26288</v>
      </c>
      <c r="I618">
        <v>42306</v>
      </c>
      <c r="J618">
        <v>26288</v>
      </c>
      <c r="K618">
        <v>0.97263504885301588</v>
      </c>
      <c r="L618">
        <f t="shared" ca="1" si="65"/>
        <v>293.90848299999999</v>
      </c>
      <c r="M618">
        <f t="shared" si="66"/>
        <v>310.06412899999998</v>
      </c>
      <c r="N618">
        <v>26288</v>
      </c>
      <c r="O618">
        <f t="shared" ca="1" si="64"/>
        <v>0.94789579158316639</v>
      </c>
    </row>
    <row r="619" spans="1:15" x14ac:dyDescent="0.2">
      <c r="A619" t="str">
        <f ca="1">IFERROR(__xludf.DUMMYFUNCTION("""COMPUTED_VALUE"""),"km")</f>
        <v>km</v>
      </c>
      <c r="B619" t="str">
        <f ca="1">IFERROR(__xludf.DUMMYFUNCTION("""COMPUTED_VALUE"""),"Model 3 P")</f>
        <v>Model 3 P</v>
      </c>
      <c r="C619">
        <f ca="1">IFERROR(__xludf.DUMMYFUNCTION("""COMPUTED_VALUE"""),499)</f>
        <v>499</v>
      </c>
      <c r="D619">
        <f ca="1">IFERROR(__xludf.DUMMYFUNCTION("""COMPUTED_VALUE"""),150)</f>
        <v>150</v>
      </c>
      <c r="E619">
        <f ca="1">IFERROR(__xludf.DUMMYFUNCTION("""COMPUTED_VALUE"""),473)</f>
        <v>473</v>
      </c>
      <c r="F619">
        <v>499</v>
      </c>
      <c r="G619">
        <v>0.94789579158316628</v>
      </c>
      <c r="H619">
        <v>93</v>
      </c>
      <c r="I619">
        <v>150</v>
      </c>
      <c r="J619">
        <v>93</v>
      </c>
      <c r="K619">
        <v>0.99989722497355926</v>
      </c>
      <c r="L619">
        <f t="shared" ca="1" si="65"/>
        <v>293.90848299999999</v>
      </c>
      <c r="M619">
        <f t="shared" si="66"/>
        <v>310.06412899999998</v>
      </c>
      <c r="N619">
        <v>93</v>
      </c>
      <c r="O619">
        <f t="shared" ca="1" si="64"/>
        <v>0.94789579158316639</v>
      </c>
    </row>
    <row r="620" spans="1:15" x14ac:dyDescent="0.2">
      <c r="A620" t="str">
        <f ca="1">IFERROR(__xludf.DUMMYFUNCTION("""COMPUTED_VALUE"""),"km")</f>
        <v>km</v>
      </c>
      <c r="B620" t="str">
        <f ca="1">IFERROR(__xludf.DUMMYFUNCTION("""COMPUTED_VALUE"""),"Model S 85D")</f>
        <v>Model S 85D</v>
      </c>
      <c r="C620">
        <f ca="1">IFERROR(__xludf.DUMMYFUNCTION("""COMPUTED_VALUE"""),404)</f>
        <v>404</v>
      </c>
      <c r="D620">
        <f ca="1">IFERROR(__xludf.DUMMYFUNCTION("""COMPUTED_VALUE"""),228291)</f>
        <v>228291</v>
      </c>
      <c r="E620">
        <f ca="1">IFERROR(__xludf.DUMMYFUNCTION("""COMPUTED_VALUE"""),403)</f>
        <v>403</v>
      </c>
      <c r="F620">
        <v>425</v>
      </c>
      <c r="G620">
        <v>0.94823529411764707</v>
      </c>
      <c r="H620">
        <v>141853</v>
      </c>
      <c r="I620">
        <v>228291</v>
      </c>
      <c r="J620">
        <v>141853</v>
      </c>
      <c r="K620">
        <v>0.89448810357581909</v>
      </c>
      <c r="L620">
        <f t="shared" ca="1" si="65"/>
        <v>250.41251299999999</v>
      </c>
      <c r="M620">
        <f t="shared" si="66"/>
        <v>264.08267499999999</v>
      </c>
      <c r="N620">
        <v>141853</v>
      </c>
      <c r="O620">
        <f t="shared" ca="1" si="64"/>
        <v>0.94823529411764707</v>
      </c>
    </row>
    <row r="621" spans="1:15" x14ac:dyDescent="0.2">
      <c r="A621" t="str">
        <f ca="1">IFERROR(__xludf.DUMMYFUNCTION("""COMPUTED_VALUE"""),"km")</f>
        <v>km</v>
      </c>
      <c r="B621" t="str">
        <f ca="1">IFERROR(__xludf.DUMMYFUNCTION("""COMPUTED_VALUE"""),"Model S 85D")</f>
        <v>Model S 85D</v>
      </c>
      <c r="D621">
        <f ca="1">IFERROR(__xludf.DUMMYFUNCTION("""COMPUTED_VALUE"""),10762)</f>
        <v>10762</v>
      </c>
      <c r="E621">
        <f ca="1">IFERROR(__xludf.DUMMYFUNCTION("""COMPUTED_VALUE"""),403)</f>
        <v>403</v>
      </c>
      <c r="F621">
        <v>425</v>
      </c>
      <c r="G621">
        <v>0.94823529411764707</v>
      </c>
      <c r="H621">
        <v>6687</v>
      </c>
      <c r="I621">
        <v>10762</v>
      </c>
      <c r="J621">
        <v>6687</v>
      </c>
      <c r="K621">
        <v>0.99272884535077177</v>
      </c>
      <c r="L621">
        <f t="shared" ca="1" si="65"/>
        <v>250.41251299999999</v>
      </c>
      <c r="M621">
        <f t="shared" si="66"/>
        <v>264.08267499999999</v>
      </c>
      <c r="N621">
        <v>6687</v>
      </c>
      <c r="O621">
        <f t="shared" ca="1" si="64"/>
        <v>0.94823529411764707</v>
      </c>
    </row>
    <row r="622" spans="1:15" x14ac:dyDescent="0.2">
      <c r="A622" t="str">
        <f ca="1">IFERROR(__xludf.DUMMYFUNCTION("""COMPUTED_VALUE"""),"km")</f>
        <v>km</v>
      </c>
      <c r="B622" t="str">
        <f ca="1">IFERROR(__xludf.DUMMYFUNCTION("""COMPUTED_VALUE"""),"Model S 85D")</f>
        <v>Model S 85D</v>
      </c>
      <c r="D622">
        <f ca="1">IFERROR(__xludf.DUMMYFUNCTION("""COMPUTED_VALUE"""),6950)</f>
        <v>6950</v>
      </c>
      <c r="E622">
        <f ca="1">IFERROR(__xludf.DUMMYFUNCTION("""COMPUTED_VALUE"""),403)</f>
        <v>403</v>
      </c>
      <c r="F622">
        <v>425</v>
      </c>
      <c r="G622">
        <v>0.94823529411764707</v>
      </c>
      <c r="H622">
        <v>4319</v>
      </c>
      <c r="I622">
        <v>6950</v>
      </c>
      <c r="J622">
        <v>4319</v>
      </c>
      <c r="K622">
        <v>0.99528049079526149</v>
      </c>
      <c r="L622">
        <f t="shared" ca="1" si="65"/>
        <v>250.41251299999999</v>
      </c>
      <c r="M622">
        <f t="shared" si="66"/>
        <v>264.08267499999999</v>
      </c>
      <c r="N622">
        <v>4319</v>
      </c>
      <c r="O622">
        <f t="shared" ca="1" si="64"/>
        <v>0.94823529411764707</v>
      </c>
    </row>
    <row r="623" spans="1:15" x14ac:dyDescent="0.2">
      <c r="A623" t="str">
        <f ca="1">IFERROR(__xludf.DUMMYFUNCTION("""COMPUTED_VALUE"""),"km")</f>
        <v>km</v>
      </c>
      <c r="B623" t="str">
        <f ca="1">IFERROR(__xludf.DUMMYFUNCTION("""COMPUTED_VALUE"""),"Model S 85D")</f>
        <v>Model S 85D</v>
      </c>
      <c r="D623">
        <f ca="1">IFERROR(__xludf.DUMMYFUNCTION("""COMPUTED_VALUE"""),550)</f>
        <v>550</v>
      </c>
      <c r="E623">
        <f ca="1">IFERROR(__xludf.DUMMYFUNCTION("""COMPUTED_VALUE"""),403)</f>
        <v>403</v>
      </c>
      <c r="F623">
        <v>425</v>
      </c>
      <c r="G623">
        <v>0.94823529411764707</v>
      </c>
      <c r="H623">
        <v>342</v>
      </c>
      <c r="I623">
        <v>550</v>
      </c>
      <c r="J623">
        <v>342</v>
      </c>
      <c r="K623">
        <v>0.99962335513643596</v>
      </c>
      <c r="L623">
        <f t="shared" ca="1" si="65"/>
        <v>250.41251299999999</v>
      </c>
      <c r="M623">
        <f t="shared" si="66"/>
        <v>264.08267499999999</v>
      </c>
      <c r="N623">
        <v>342</v>
      </c>
      <c r="O623">
        <f t="shared" ca="1" si="64"/>
        <v>0.94823529411764707</v>
      </c>
    </row>
    <row r="624" spans="1:15" x14ac:dyDescent="0.2">
      <c r="A624" t="str">
        <f ca="1">IFERROR(__xludf.DUMMYFUNCTION("""COMPUTED_VALUE"""),"mi")</f>
        <v>mi</v>
      </c>
      <c r="B624" t="str">
        <f ca="1">IFERROR(__xludf.DUMMYFUNCTION("""COMPUTED_VALUE"""),"Model 3 LR AWD")</f>
        <v>Model 3 LR AWD</v>
      </c>
      <c r="D624">
        <f ca="1">IFERROR(__xludf.DUMMYFUNCTION("""COMPUTED_VALUE"""),21550)</f>
        <v>21550</v>
      </c>
      <c r="E624">
        <f ca="1">IFERROR(__xludf.DUMMYFUNCTION("""COMPUTED_VALUE"""),294)</f>
        <v>294</v>
      </c>
      <c r="F624">
        <v>310</v>
      </c>
      <c r="G624">
        <v>0.94838709677419353</v>
      </c>
      <c r="H624">
        <v>21550</v>
      </c>
      <c r="I624">
        <v>34681</v>
      </c>
      <c r="J624">
        <v>21550</v>
      </c>
      <c r="K624">
        <v>0.97732353464366939</v>
      </c>
      <c r="L624">
        <f ca="1">IFERROR(__xludf.DUMMYFUNCTION("""COMPUTED_VALUE"""),294)</f>
        <v>294</v>
      </c>
      <c r="M624">
        <v>310</v>
      </c>
      <c r="N624">
        <v>21550</v>
      </c>
      <c r="O624">
        <f t="shared" ca="1" si="64"/>
        <v>0.94838709677419353</v>
      </c>
    </row>
    <row r="625" spans="1:15" x14ac:dyDescent="0.2">
      <c r="A625" t="str">
        <f ca="1">IFERROR(__xludf.DUMMYFUNCTION("""COMPUTED_VALUE"""),"mi")</f>
        <v>mi</v>
      </c>
      <c r="B625" t="str">
        <f ca="1">IFERROR(__xludf.DUMMYFUNCTION("""COMPUTED_VALUE"""),"Model 3 LR AWD")</f>
        <v>Model 3 LR AWD</v>
      </c>
      <c r="C625">
        <f ca="1">IFERROR(__xludf.DUMMYFUNCTION("""COMPUTED_VALUE"""),310)</f>
        <v>310</v>
      </c>
      <c r="D625">
        <f ca="1">IFERROR(__xludf.DUMMYFUNCTION("""COMPUTED_VALUE"""),40000)</f>
        <v>40000</v>
      </c>
      <c r="E625">
        <f ca="1">IFERROR(__xludf.DUMMYFUNCTION("""COMPUTED_VALUE"""),294)</f>
        <v>294</v>
      </c>
      <c r="F625">
        <v>310</v>
      </c>
      <c r="G625">
        <v>0.94838709677419353</v>
      </c>
      <c r="H625">
        <v>40000</v>
      </c>
      <c r="I625">
        <v>64374</v>
      </c>
      <c r="J625">
        <v>40000</v>
      </c>
      <c r="K625">
        <v>0.95968434522605162</v>
      </c>
      <c r="L625">
        <f ca="1">IFERROR(__xludf.DUMMYFUNCTION("""COMPUTED_VALUE"""),294)</f>
        <v>294</v>
      </c>
      <c r="M625">
        <v>310</v>
      </c>
      <c r="N625">
        <v>40000</v>
      </c>
      <c r="O625">
        <f t="shared" ca="1" si="64"/>
        <v>0.94838709677419353</v>
      </c>
    </row>
    <row r="626" spans="1:15" x14ac:dyDescent="0.2">
      <c r="A626" t="str">
        <f ca="1">IFERROR(__xludf.DUMMYFUNCTION("""COMPUTED_VALUE"""),"km")</f>
        <v>km</v>
      </c>
      <c r="B626" t="str">
        <f ca="1">IFERROR(__xludf.DUMMYFUNCTION("""COMPUTED_VALUE"""),"Model S 90D")</f>
        <v>Model S 90D</v>
      </c>
      <c r="D626">
        <f ca="1">IFERROR(__xludf.DUMMYFUNCTION("""COMPUTED_VALUE"""),55961)</f>
        <v>55961</v>
      </c>
      <c r="E626">
        <f ca="1">IFERROR(__xludf.DUMMYFUNCTION("""COMPUTED_VALUE"""),424)</f>
        <v>424</v>
      </c>
      <c r="F626">
        <v>447</v>
      </c>
      <c r="G626">
        <v>0.94854586129753915</v>
      </c>
      <c r="H626">
        <v>34773</v>
      </c>
      <c r="I626">
        <v>55961</v>
      </c>
      <c r="J626">
        <v>34773</v>
      </c>
      <c r="K626">
        <v>0.96451223461929458</v>
      </c>
      <c r="L626">
        <f t="shared" ref="L626:M629" ca="1" si="67">E626*0.621371</f>
        <v>263.46130399999998</v>
      </c>
      <c r="M626">
        <f t="shared" si="67"/>
        <v>277.752837</v>
      </c>
      <c r="N626">
        <v>34773</v>
      </c>
      <c r="O626">
        <f t="shared" ca="1" si="64"/>
        <v>0.94854586129753904</v>
      </c>
    </row>
    <row r="627" spans="1:15" x14ac:dyDescent="0.2">
      <c r="A627" t="str">
        <f ca="1">IFERROR(__xludf.DUMMYFUNCTION("""COMPUTED_VALUE"""),"km")</f>
        <v>km</v>
      </c>
      <c r="B627" t="str">
        <f ca="1">IFERROR(__xludf.DUMMYFUNCTION("""COMPUTED_VALUE"""),"Model S 90D")</f>
        <v>Model S 90D</v>
      </c>
      <c r="D627">
        <f ca="1">IFERROR(__xludf.DUMMYFUNCTION("""COMPUTED_VALUE"""),55961)</f>
        <v>55961</v>
      </c>
      <c r="E627">
        <f ca="1">IFERROR(__xludf.DUMMYFUNCTION("""COMPUTED_VALUE"""),424)</f>
        <v>424</v>
      </c>
      <c r="F627">
        <v>447</v>
      </c>
      <c r="G627">
        <v>0.94854586129753915</v>
      </c>
      <c r="H627">
        <v>34773</v>
      </c>
      <c r="I627">
        <v>55961</v>
      </c>
      <c r="J627">
        <v>34773</v>
      </c>
      <c r="K627">
        <v>0.96451223461929458</v>
      </c>
      <c r="L627">
        <f t="shared" ca="1" si="67"/>
        <v>263.46130399999998</v>
      </c>
      <c r="M627">
        <f t="shared" si="67"/>
        <v>277.752837</v>
      </c>
      <c r="N627">
        <v>34773</v>
      </c>
      <c r="O627">
        <f t="shared" ca="1" si="64"/>
        <v>0.94854586129753904</v>
      </c>
    </row>
    <row r="628" spans="1:15" x14ac:dyDescent="0.2">
      <c r="A628" t="str">
        <f ca="1">IFERROR(__xludf.DUMMYFUNCTION("""COMPUTED_VALUE"""),"km")</f>
        <v>km</v>
      </c>
      <c r="B628" t="str">
        <f ca="1">IFERROR(__xludf.DUMMYFUNCTION("""COMPUTED_VALUE"""),"Model S 90D")</f>
        <v>Model S 90D</v>
      </c>
      <c r="D628">
        <f ca="1">IFERROR(__xludf.DUMMYFUNCTION("""COMPUTED_VALUE"""),16500)</f>
        <v>16500</v>
      </c>
      <c r="E628">
        <f ca="1">IFERROR(__xludf.DUMMYFUNCTION("""COMPUTED_VALUE"""),424)</f>
        <v>424</v>
      </c>
      <c r="F628">
        <v>447</v>
      </c>
      <c r="G628">
        <v>0.94854586129753915</v>
      </c>
      <c r="H628">
        <v>10253</v>
      </c>
      <c r="I628">
        <v>16500</v>
      </c>
      <c r="J628">
        <v>10253</v>
      </c>
      <c r="K628">
        <v>0.98893765996253924</v>
      </c>
      <c r="L628">
        <f t="shared" ca="1" si="67"/>
        <v>263.46130399999998</v>
      </c>
      <c r="M628">
        <f t="shared" si="67"/>
        <v>277.752837</v>
      </c>
      <c r="N628">
        <v>10253</v>
      </c>
      <c r="O628">
        <f t="shared" ca="1" si="64"/>
        <v>0.94854586129753904</v>
      </c>
    </row>
    <row r="629" spans="1:15" x14ac:dyDescent="0.2">
      <c r="A629" t="str">
        <f ca="1">IFERROR(__xludf.DUMMYFUNCTION("""COMPUTED_VALUE"""),"km")</f>
        <v>km</v>
      </c>
      <c r="B629" t="str">
        <f ca="1">IFERROR(__xludf.DUMMYFUNCTION("""COMPUTED_VALUE"""),"Model S 85")</f>
        <v>Model S 85</v>
      </c>
      <c r="D629">
        <f ca="1">IFERROR(__xludf.DUMMYFUNCTION("""COMPUTED_VALUE"""),100000)</f>
        <v>100000</v>
      </c>
      <c r="E629">
        <f ca="1">IFERROR(__xludf.DUMMYFUNCTION("""COMPUTED_VALUE"""),406)</f>
        <v>406</v>
      </c>
      <c r="F629">
        <v>428</v>
      </c>
      <c r="G629">
        <v>0.94859813084112155</v>
      </c>
      <c r="H629">
        <v>62137</v>
      </c>
      <c r="I629">
        <v>100000</v>
      </c>
      <c r="J629">
        <v>62137</v>
      </c>
      <c r="K629">
        <v>0.94076597629758174</v>
      </c>
      <c r="L629">
        <f t="shared" ca="1" si="67"/>
        <v>252.27662599999999</v>
      </c>
      <c r="M629">
        <f t="shared" si="67"/>
        <v>265.94678800000003</v>
      </c>
      <c r="N629">
        <v>62137</v>
      </c>
      <c r="O629">
        <f t="shared" ca="1" si="64"/>
        <v>0.94859813084112132</v>
      </c>
    </row>
    <row r="630" spans="1:15" x14ac:dyDescent="0.2">
      <c r="A630" t="str">
        <f ca="1">IFERROR(__xludf.DUMMYFUNCTION("""COMPUTED_VALUE"""),"mi")</f>
        <v>mi</v>
      </c>
      <c r="B630" t="str">
        <f ca="1">IFERROR(__xludf.DUMMYFUNCTION("""COMPUTED_VALUE"""),"Model X 75D")</f>
        <v>Model X 75D</v>
      </c>
      <c r="C630">
        <f ca="1">IFERROR(__xludf.DUMMYFUNCTION("""COMPUTED_VALUE"""),237)</f>
        <v>237</v>
      </c>
      <c r="D630">
        <f ca="1">IFERROR(__xludf.DUMMYFUNCTION("""COMPUTED_VALUE"""),6891)</f>
        <v>6891</v>
      </c>
      <c r="E630">
        <f ca="1">IFERROR(__xludf.DUMMYFUNCTION("""COMPUTED_VALUE"""),222)</f>
        <v>222</v>
      </c>
      <c r="F630">
        <v>234</v>
      </c>
      <c r="G630">
        <v>0.94871794871794868</v>
      </c>
      <c r="H630">
        <v>6891</v>
      </c>
      <c r="I630">
        <v>11090</v>
      </c>
      <c r="J630">
        <v>6891</v>
      </c>
      <c r="K630">
        <v>0.99251051972162641</v>
      </c>
      <c r="L630">
        <f ca="1">IFERROR(__xludf.DUMMYFUNCTION("""COMPUTED_VALUE"""),222)</f>
        <v>222</v>
      </c>
      <c r="M630">
        <v>234</v>
      </c>
      <c r="N630">
        <v>6891</v>
      </c>
      <c r="O630">
        <f t="shared" ca="1" si="64"/>
        <v>0.94871794871794868</v>
      </c>
    </row>
    <row r="631" spans="1:15" x14ac:dyDescent="0.2">
      <c r="A631" t="str">
        <f ca="1">IFERROR(__xludf.DUMMYFUNCTION("""COMPUTED_VALUE"""),"km")</f>
        <v>km</v>
      </c>
      <c r="B631" t="str">
        <f ca="1">IFERROR(__xludf.DUMMYFUNCTION("""COMPUTED_VALUE"""),"Model S P85")</f>
        <v>Model S P85</v>
      </c>
      <c r="D631">
        <f ca="1">IFERROR(__xludf.DUMMYFUNCTION("""COMPUTED_VALUE"""),131600)</f>
        <v>131600</v>
      </c>
      <c r="E631">
        <f ca="1">IFERROR(__xludf.DUMMYFUNCTION("""COMPUTED_VALUE"""),375)</f>
        <v>375</v>
      </c>
      <c r="F631">
        <v>395</v>
      </c>
      <c r="G631">
        <v>0.94936708860759489</v>
      </c>
      <c r="H631">
        <v>81772</v>
      </c>
      <c r="I631">
        <v>131600</v>
      </c>
      <c r="J631">
        <v>81772</v>
      </c>
      <c r="K631">
        <v>0.92611185053247591</v>
      </c>
      <c r="L631">
        <f t="shared" ref="L631:L678" ca="1" si="68">E631*0.621371</f>
        <v>233.01412500000001</v>
      </c>
      <c r="M631">
        <f t="shared" ref="M631:M678" si="69">F631*0.621371</f>
        <v>245.44154499999999</v>
      </c>
      <c r="N631">
        <v>81772</v>
      </c>
      <c r="O631">
        <f t="shared" ca="1" si="64"/>
        <v>0.949367088607595</v>
      </c>
    </row>
    <row r="632" spans="1:15" x14ac:dyDescent="0.2">
      <c r="A632" t="str">
        <f ca="1">IFERROR(__xludf.DUMMYFUNCTION("""COMPUTED_VALUE"""),"km")</f>
        <v>km</v>
      </c>
      <c r="B632" t="str">
        <f ca="1">IFERROR(__xludf.DUMMYFUNCTION("""COMPUTED_VALUE"""),"Model S P85")</f>
        <v>Model S P85</v>
      </c>
      <c r="D632">
        <f ca="1">IFERROR(__xludf.DUMMYFUNCTION("""COMPUTED_VALUE"""),75554)</f>
        <v>75554</v>
      </c>
      <c r="E632">
        <f ca="1">IFERROR(__xludf.DUMMYFUNCTION("""COMPUTED_VALUE"""),375)</f>
        <v>375</v>
      </c>
      <c r="F632">
        <v>395</v>
      </c>
      <c r="G632">
        <v>0.94936708860759489</v>
      </c>
      <c r="H632">
        <v>46947</v>
      </c>
      <c r="I632">
        <v>75554</v>
      </c>
      <c r="J632">
        <v>46947</v>
      </c>
      <c r="K632">
        <v>0.95347966534953821</v>
      </c>
      <c r="L632">
        <f t="shared" ca="1" si="68"/>
        <v>233.01412500000001</v>
      </c>
      <c r="M632">
        <f t="shared" si="69"/>
        <v>245.44154499999999</v>
      </c>
      <c r="N632">
        <v>46947</v>
      </c>
      <c r="O632">
        <f t="shared" ca="1" si="64"/>
        <v>0.949367088607595</v>
      </c>
    </row>
    <row r="633" spans="1:15" x14ac:dyDescent="0.2">
      <c r="A633" t="str">
        <f ca="1">IFERROR(__xludf.DUMMYFUNCTION("""COMPUTED_VALUE"""),"km")</f>
        <v>km</v>
      </c>
      <c r="B633" t="str">
        <f ca="1">IFERROR(__xludf.DUMMYFUNCTION("""COMPUTED_VALUE"""),"Model S 85")</f>
        <v>Model S 85</v>
      </c>
      <c r="D633">
        <f ca="1">IFERROR(__xludf.DUMMYFUNCTION("""COMPUTED_VALUE"""),117055)</f>
        <v>117055</v>
      </c>
      <c r="E633">
        <f ca="1">IFERROR(__xludf.DUMMYFUNCTION("""COMPUTED_VALUE"""),375)</f>
        <v>375</v>
      </c>
      <c r="F633">
        <v>395</v>
      </c>
      <c r="G633">
        <v>0.94936708860759489</v>
      </c>
      <c r="H633">
        <v>72735</v>
      </c>
      <c r="I633">
        <v>117055</v>
      </c>
      <c r="J633">
        <v>72735</v>
      </c>
      <c r="K633">
        <v>0.9326036490937416</v>
      </c>
      <c r="L633">
        <f t="shared" ca="1" si="68"/>
        <v>233.01412500000001</v>
      </c>
      <c r="M633">
        <f t="shared" si="69"/>
        <v>245.44154499999999</v>
      </c>
      <c r="N633">
        <v>72735</v>
      </c>
      <c r="O633">
        <f t="shared" ca="1" si="64"/>
        <v>0.949367088607595</v>
      </c>
    </row>
    <row r="634" spans="1:15" x14ac:dyDescent="0.2">
      <c r="A634" t="str">
        <f ca="1">IFERROR(__xludf.DUMMYFUNCTION("""COMPUTED_VALUE"""),"km")</f>
        <v>km</v>
      </c>
      <c r="B634" t="str">
        <f ca="1">IFERROR(__xludf.DUMMYFUNCTION("""COMPUTED_VALUE"""),"Model S 85")</f>
        <v>Model S 85</v>
      </c>
      <c r="C634">
        <f ca="1">IFERROR(__xludf.DUMMYFUNCTION("""COMPUTED_VALUE"""),398)</f>
        <v>398</v>
      </c>
      <c r="D634">
        <f ca="1">IFERROR(__xludf.DUMMYFUNCTION("""COMPUTED_VALUE"""),187618)</f>
        <v>187618</v>
      </c>
      <c r="E634">
        <f ca="1">IFERROR(__xludf.DUMMYFUNCTION("""COMPUTED_VALUE"""),375)</f>
        <v>375</v>
      </c>
      <c r="F634">
        <v>395</v>
      </c>
      <c r="G634">
        <v>0.94936708860759489</v>
      </c>
      <c r="H634">
        <v>116580</v>
      </c>
      <c r="I634">
        <v>187618</v>
      </c>
      <c r="J634">
        <v>116580</v>
      </c>
      <c r="K634">
        <v>0.90528197121633758</v>
      </c>
      <c r="L634">
        <f t="shared" ca="1" si="68"/>
        <v>233.01412500000001</v>
      </c>
      <c r="M634">
        <f t="shared" si="69"/>
        <v>245.44154499999999</v>
      </c>
      <c r="N634">
        <v>116580</v>
      </c>
      <c r="O634">
        <f t="shared" ca="1" si="64"/>
        <v>0.949367088607595</v>
      </c>
    </row>
    <row r="635" spans="1:15" x14ac:dyDescent="0.2">
      <c r="A635" t="str">
        <f ca="1">IFERROR(__xludf.DUMMYFUNCTION("""COMPUTED_VALUE"""),"km")</f>
        <v>km</v>
      </c>
      <c r="B635" t="str">
        <f ca="1">IFERROR(__xludf.DUMMYFUNCTION("""COMPUTED_VALUE"""),"Model S 85")</f>
        <v>Model S 85</v>
      </c>
      <c r="D635">
        <f ca="1">IFERROR(__xludf.DUMMYFUNCTION("""COMPUTED_VALUE"""),116500)</f>
        <v>116500</v>
      </c>
      <c r="E635">
        <f ca="1">IFERROR(__xludf.DUMMYFUNCTION("""COMPUTED_VALUE"""),375)</f>
        <v>375</v>
      </c>
      <c r="F635">
        <v>395</v>
      </c>
      <c r="G635">
        <v>0.94936708860759489</v>
      </c>
      <c r="H635">
        <v>72390</v>
      </c>
      <c r="I635">
        <v>116500</v>
      </c>
      <c r="J635">
        <v>72390</v>
      </c>
      <c r="K635">
        <v>0.93285996939946159</v>
      </c>
      <c r="L635">
        <f t="shared" ca="1" si="68"/>
        <v>233.01412500000001</v>
      </c>
      <c r="M635">
        <f t="shared" si="69"/>
        <v>245.44154499999999</v>
      </c>
      <c r="N635">
        <v>72390</v>
      </c>
      <c r="O635">
        <f t="shared" ca="1" si="64"/>
        <v>0.949367088607595</v>
      </c>
    </row>
    <row r="636" spans="1:15" x14ac:dyDescent="0.2">
      <c r="A636" t="str">
        <f ca="1">IFERROR(__xludf.DUMMYFUNCTION("""COMPUTED_VALUE"""),"km")</f>
        <v>km</v>
      </c>
      <c r="B636" t="str">
        <f ca="1">IFERROR(__xludf.DUMMYFUNCTION("""COMPUTED_VALUE"""),"Model S 85")</f>
        <v>Model S 85</v>
      </c>
      <c r="C636">
        <f ca="1">IFERROR(__xludf.DUMMYFUNCTION("""COMPUTED_VALUE"""),383)</f>
        <v>383</v>
      </c>
      <c r="D636">
        <f ca="1">IFERROR(__xludf.DUMMYFUNCTION("""COMPUTED_VALUE"""),119000)</f>
        <v>119000</v>
      </c>
      <c r="E636">
        <f ca="1">IFERROR(__xludf.DUMMYFUNCTION("""COMPUTED_VALUE"""),375)</f>
        <v>375</v>
      </c>
      <c r="F636">
        <v>395</v>
      </c>
      <c r="G636">
        <v>0.94936708860759489</v>
      </c>
      <c r="H636">
        <v>73943</v>
      </c>
      <c r="I636">
        <v>119000</v>
      </c>
      <c r="J636">
        <v>73943</v>
      </c>
      <c r="K636">
        <v>0.93171034521284191</v>
      </c>
      <c r="L636">
        <f t="shared" ca="1" si="68"/>
        <v>233.01412500000001</v>
      </c>
      <c r="M636">
        <f t="shared" si="69"/>
        <v>245.44154499999999</v>
      </c>
      <c r="N636">
        <v>73943</v>
      </c>
      <c r="O636">
        <f t="shared" ca="1" si="64"/>
        <v>0.949367088607595</v>
      </c>
    </row>
    <row r="637" spans="1:15" x14ac:dyDescent="0.2">
      <c r="A637" t="str">
        <f ca="1">IFERROR(__xludf.DUMMYFUNCTION("""COMPUTED_VALUE"""),"km")</f>
        <v>km</v>
      </c>
      <c r="B637" t="str">
        <f ca="1">IFERROR(__xludf.DUMMYFUNCTION("""COMPUTED_VALUE"""),"Model S 85")</f>
        <v>Model S 85</v>
      </c>
      <c r="C637">
        <f ca="1">IFERROR(__xludf.DUMMYFUNCTION("""COMPUTED_VALUE"""),399)</f>
        <v>399</v>
      </c>
      <c r="D637">
        <f ca="1">IFERROR(__xludf.DUMMYFUNCTION("""COMPUTED_VALUE"""),117434)</f>
        <v>117434</v>
      </c>
      <c r="E637">
        <f ca="1">IFERROR(__xludf.DUMMYFUNCTION("""COMPUTED_VALUE"""),375)</f>
        <v>375</v>
      </c>
      <c r="F637">
        <v>395</v>
      </c>
      <c r="G637">
        <v>0.94936708860759489</v>
      </c>
      <c r="H637">
        <v>72970</v>
      </c>
      <c r="I637">
        <v>117434</v>
      </c>
      <c r="J637">
        <v>72970</v>
      </c>
      <c r="K637">
        <v>0.9324289740717977</v>
      </c>
      <c r="L637">
        <f t="shared" ca="1" si="68"/>
        <v>233.01412500000001</v>
      </c>
      <c r="M637">
        <f t="shared" si="69"/>
        <v>245.44154499999999</v>
      </c>
      <c r="N637">
        <v>72970</v>
      </c>
      <c r="O637">
        <f t="shared" ca="1" si="64"/>
        <v>0.949367088607595</v>
      </c>
    </row>
    <row r="638" spans="1:15" x14ac:dyDescent="0.2">
      <c r="A638" t="str">
        <f ca="1">IFERROR(__xludf.DUMMYFUNCTION("""COMPUTED_VALUE"""),"km")</f>
        <v>km</v>
      </c>
      <c r="B638" t="str">
        <f ca="1">IFERROR(__xludf.DUMMYFUNCTION("""COMPUTED_VALUE"""),"Model S 85")</f>
        <v>Model S 85</v>
      </c>
      <c r="D638">
        <f ca="1">IFERROR(__xludf.DUMMYFUNCTION("""COMPUTED_VALUE"""),100250)</f>
        <v>100250</v>
      </c>
      <c r="E638">
        <f ca="1">IFERROR(__xludf.DUMMYFUNCTION("""COMPUTED_VALUE"""),375)</f>
        <v>375</v>
      </c>
      <c r="F638">
        <v>395</v>
      </c>
      <c r="G638">
        <v>0.94936708860759489</v>
      </c>
      <c r="H638">
        <v>62292</v>
      </c>
      <c r="I638">
        <v>100250</v>
      </c>
      <c r="J638">
        <v>62292</v>
      </c>
      <c r="K638">
        <v>0.94064209037582147</v>
      </c>
      <c r="L638">
        <f t="shared" ca="1" si="68"/>
        <v>233.01412500000001</v>
      </c>
      <c r="M638">
        <f t="shared" si="69"/>
        <v>245.44154499999999</v>
      </c>
      <c r="N638">
        <v>62292</v>
      </c>
      <c r="O638">
        <f t="shared" ca="1" si="64"/>
        <v>0.949367088607595</v>
      </c>
    </row>
    <row r="639" spans="1:15" x14ac:dyDescent="0.2">
      <c r="A639" t="str">
        <f ca="1">IFERROR(__xludf.DUMMYFUNCTION("""COMPUTED_VALUE"""),"km")</f>
        <v>km</v>
      </c>
      <c r="B639" t="str">
        <f ca="1">IFERROR(__xludf.DUMMYFUNCTION("""COMPUTED_VALUE"""),"Model S 85")</f>
        <v>Model S 85</v>
      </c>
      <c r="C639">
        <f ca="1">IFERROR(__xludf.DUMMYFUNCTION("""COMPUTED_VALUE"""),398)</f>
        <v>398</v>
      </c>
      <c r="D639">
        <f ca="1">IFERROR(__xludf.DUMMYFUNCTION("""COMPUTED_VALUE"""),112723)</f>
        <v>112723</v>
      </c>
      <c r="E639">
        <f ca="1">IFERROR(__xludf.DUMMYFUNCTION("""COMPUTED_VALUE"""),375)</f>
        <v>375</v>
      </c>
      <c r="F639">
        <v>395</v>
      </c>
      <c r="G639">
        <v>0.94936708860759489</v>
      </c>
      <c r="H639">
        <v>70043</v>
      </c>
      <c r="I639">
        <v>112723</v>
      </c>
      <c r="J639">
        <v>70043</v>
      </c>
      <c r="K639">
        <v>0.93462102300679284</v>
      </c>
      <c r="L639">
        <f t="shared" ca="1" si="68"/>
        <v>233.01412500000001</v>
      </c>
      <c r="M639">
        <f t="shared" si="69"/>
        <v>245.44154499999999</v>
      </c>
      <c r="N639">
        <v>70043</v>
      </c>
      <c r="O639">
        <f t="shared" ca="1" si="64"/>
        <v>0.949367088607595</v>
      </c>
    </row>
    <row r="640" spans="1:15" x14ac:dyDescent="0.2">
      <c r="A640" t="str">
        <f ca="1">IFERROR(__xludf.DUMMYFUNCTION("""COMPUTED_VALUE"""),"km")</f>
        <v>km</v>
      </c>
      <c r="B640" t="str">
        <f ca="1">IFERROR(__xludf.DUMMYFUNCTION("""COMPUTED_VALUE"""),"Model S 85")</f>
        <v>Model S 85</v>
      </c>
      <c r="D640">
        <f ca="1">IFERROR(__xludf.DUMMYFUNCTION("""COMPUTED_VALUE"""),31293)</f>
        <v>31293</v>
      </c>
      <c r="E640">
        <f ca="1">IFERROR(__xludf.DUMMYFUNCTION("""COMPUTED_VALUE"""),375)</f>
        <v>375</v>
      </c>
      <c r="F640">
        <v>395</v>
      </c>
      <c r="G640">
        <v>0.94936708860759489</v>
      </c>
      <c r="H640">
        <v>19445</v>
      </c>
      <c r="I640">
        <v>31293</v>
      </c>
      <c r="J640">
        <v>19445</v>
      </c>
      <c r="K640">
        <v>0.9794415415871186</v>
      </c>
      <c r="L640">
        <f t="shared" ca="1" si="68"/>
        <v>233.01412500000001</v>
      </c>
      <c r="M640">
        <f t="shared" si="69"/>
        <v>245.44154499999999</v>
      </c>
      <c r="N640">
        <v>19445</v>
      </c>
      <c r="O640">
        <f t="shared" ca="1" si="64"/>
        <v>0.949367088607595</v>
      </c>
    </row>
    <row r="641" spans="1:15" x14ac:dyDescent="0.2">
      <c r="A641" t="str">
        <f ca="1">IFERROR(__xludf.DUMMYFUNCTION("""COMPUTED_VALUE"""),"km")</f>
        <v>km</v>
      </c>
      <c r="B641" t="str">
        <f ca="1">IFERROR(__xludf.DUMMYFUNCTION("""COMPUTED_VALUE"""),"Model S 85")</f>
        <v>Model S 85</v>
      </c>
      <c r="C641">
        <f ca="1">IFERROR(__xludf.DUMMYFUNCTION("""COMPUTED_VALUE"""),381)</f>
        <v>381</v>
      </c>
      <c r="D641">
        <f ca="1">IFERROR(__xludf.DUMMYFUNCTION("""COMPUTED_VALUE"""),38500)</f>
        <v>38500</v>
      </c>
      <c r="E641">
        <f ca="1">IFERROR(__xludf.DUMMYFUNCTION("""COMPUTED_VALUE"""),375)</f>
        <v>375</v>
      </c>
      <c r="F641">
        <v>395</v>
      </c>
      <c r="G641">
        <v>0.94936708860759489</v>
      </c>
      <c r="H641">
        <v>23923</v>
      </c>
      <c r="I641">
        <v>38500</v>
      </c>
      <c r="J641">
        <v>23923</v>
      </c>
      <c r="K641">
        <v>0.9749617084871085</v>
      </c>
      <c r="L641">
        <f t="shared" ca="1" si="68"/>
        <v>233.01412500000001</v>
      </c>
      <c r="M641">
        <f t="shared" si="69"/>
        <v>245.44154499999999</v>
      </c>
      <c r="N641">
        <v>23923</v>
      </c>
      <c r="O641">
        <f t="shared" ca="1" si="64"/>
        <v>0.949367088607595</v>
      </c>
    </row>
    <row r="642" spans="1:15" x14ac:dyDescent="0.2">
      <c r="A642" t="str">
        <f ca="1">IFERROR(__xludf.DUMMYFUNCTION("""COMPUTED_VALUE"""),"km")</f>
        <v>km</v>
      </c>
      <c r="B642" t="str">
        <f ca="1">IFERROR(__xludf.DUMMYFUNCTION("""COMPUTED_VALUE"""),"Model S 85")</f>
        <v>Model S 85</v>
      </c>
      <c r="C642">
        <f ca="1">IFERROR(__xludf.DUMMYFUNCTION("""COMPUTED_VALUE"""),398)</f>
        <v>398</v>
      </c>
      <c r="D642">
        <f ca="1">IFERROR(__xludf.DUMMYFUNCTION("""COMPUTED_VALUE"""),86781)</f>
        <v>86781</v>
      </c>
      <c r="E642">
        <f ca="1">IFERROR(__xludf.DUMMYFUNCTION("""COMPUTED_VALUE"""),375)</f>
        <v>375</v>
      </c>
      <c r="F642">
        <v>395</v>
      </c>
      <c r="G642">
        <v>0.94936708860759489</v>
      </c>
      <c r="H642">
        <v>53923</v>
      </c>
      <c r="I642">
        <v>86781</v>
      </c>
      <c r="J642">
        <v>53923</v>
      </c>
      <c r="K642">
        <v>0.94749415895157463</v>
      </c>
      <c r="L642">
        <f t="shared" ca="1" si="68"/>
        <v>233.01412500000001</v>
      </c>
      <c r="M642">
        <f t="shared" si="69"/>
        <v>245.44154499999999</v>
      </c>
      <c r="N642">
        <v>53923</v>
      </c>
      <c r="O642">
        <f t="shared" ref="O642:O705" ca="1" si="70">L642/M642</f>
        <v>0.949367088607595</v>
      </c>
    </row>
    <row r="643" spans="1:15" x14ac:dyDescent="0.2">
      <c r="A643" t="str">
        <f ca="1">IFERROR(__xludf.DUMMYFUNCTION("""COMPUTED_VALUE"""),"km")</f>
        <v>km</v>
      </c>
      <c r="B643" t="str">
        <f ca="1">IFERROR(__xludf.DUMMYFUNCTION("""COMPUTED_VALUE"""),"Model S P85")</f>
        <v>Model S P85</v>
      </c>
      <c r="C643">
        <f ca="1">IFERROR(__xludf.DUMMYFUNCTION("""COMPUTED_VALUE"""),391)</f>
        <v>391</v>
      </c>
      <c r="D643">
        <f ca="1">IFERROR(__xludf.DUMMYFUNCTION("""COMPUTED_VALUE"""),36000)</f>
        <v>36000</v>
      </c>
      <c r="E643">
        <f ca="1">IFERROR(__xludf.DUMMYFUNCTION("""COMPUTED_VALUE"""),375)</f>
        <v>375</v>
      </c>
      <c r="F643">
        <v>395</v>
      </c>
      <c r="G643">
        <v>0.94936708860759489</v>
      </c>
      <c r="H643">
        <v>22369</v>
      </c>
      <c r="I643">
        <v>36000</v>
      </c>
      <c r="J643">
        <v>22369</v>
      </c>
      <c r="K643">
        <v>0.97650473602539301</v>
      </c>
      <c r="L643">
        <f t="shared" ca="1" si="68"/>
        <v>233.01412500000001</v>
      </c>
      <c r="M643">
        <f t="shared" si="69"/>
        <v>245.44154499999999</v>
      </c>
      <c r="N643">
        <v>22369</v>
      </c>
      <c r="O643">
        <f t="shared" ca="1" si="70"/>
        <v>0.949367088607595</v>
      </c>
    </row>
    <row r="644" spans="1:15" x14ac:dyDescent="0.2">
      <c r="A644" t="str">
        <f ca="1">IFERROR(__xludf.DUMMYFUNCTION("""COMPUTED_VALUE"""),"km")</f>
        <v>km</v>
      </c>
      <c r="B644" t="str">
        <f ca="1">IFERROR(__xludf.DUMMYFUNCTION("""COMPUTED_VALUE"""),"Model S 85")</f>
        <v>Model S 85</v>
      </c>
      <c r="D644">
        <f ca="1">IFERROR(__xludf.DUMMYFUNCTION("""COMPUTED_VALUE"""),26550)</f>
        <v>26550</v>
      </c>
      <c r="E644">
        <f ca="1">IFERROR(__xludf.DUMMYFUNCTION("""COMPUTED_VALUE"""),375)</f>
        <v>375</v>
      </c>
      <c r="F644">
        <v>395</v>
      </c>
      <c r="G644">
        <v>0.94936708860759489</v>
      </c>
      <c r="H644">
        <v>16497</v>
      </c>
      <c r="I644">
        <v>26550</v>
      </c>
      <c r="J644">
        <v>16497</v>
      </c>
      <c r="K644">
        <v>0.98244236284611586</v>
      </c>
      <c r="L644">
        <f t="shared" ca="1" si="68"/>
        <v>233.01412500000001</v>
      </c>
      <c r="M644">
        <f t="shared" si="69"/>
        <v>245.44154499999999</v>
      </c>
      <c r="N644">
        <v>16497</v>
      </c>
      <c r="O644">
        <f t="shared" ca="1" si="70"/>
        <v>0.949367088607595</v>
      </c>
    </row>
    <row r="645" spans="1:15" x14ac:dyDescent="0.2">
      <c r="A645" t="str">
        <f ca="1">IFERROR(__xludf.DUMMYFUNCTION("""COMPUTED_VALUE"""),"km")</f>
        <v>km</v>
      </c>
      <c r="B645" t="str">
        <f ca="1">IFERROR(__xludf.DUMMYFUNCTION("""COMPUTED_VALUE"""),"Model S 85")</f>
        <v>Model S 85</v>
      </c>
      <c r="C645">
        <f ca="1">IFERROR(__xludf.DUMMYFUNCTION("""COMPUTED_VALUE"""),393)</f>
        <v>393</v>
      </c>
      <c r="D645">
        <f ca="1">IFERROR(__xludf.DUMMYFUNCTION("""COMPUTED_VALUE"""),37896)</f>
        <v>37896</v>
      </c>
      <c r="E645">
        <f ca="1">IFERROR(__xludf.DUMMYFUNCTION("""COMPUTED_VALUE"""),375)</f>
        <v>375</v>
      </c>
      <c r="F645">
        <v>395</v>
      </c>
      <c r="G645">
        <v>0.94936708860759489</v>
      </c>
      <c r="H645">
        <v>23547</v>
      </c>
      <c r="I645">
        <v>37896</v>
      </c>
      <c r="J645">
        <v>23547</v>
      </c>
      <c r="K645">
        <v>0.97533343474660039</v>
      </c>
      <c r="L645">
        <f t="shared" ca="1" si="68"/>
        <v>233.01412500000001</v>
      </c>
      <c r="M645">
        <f t="shared" si="69"/>
        <v>245.44154499999999</v>
      </c>
      <c r="N645">
        <v>23547</v>
      </c>
      <c r="O645">
        <f t="shared" ca="1" si="70"/>
        <v>0.949367088607595</v>
      </c>
    </row>
    <row r="646" spans="1:15" x14ac:dyDescent="0.2">
      <c r="A646" t="str">
        <f ca="1">IFERROR(__xludf.DUMMYFUNCTION("""COMPUTED_VALUE"""),"km")</f>
        <v>km</v>
      </c>
      <c r="B646" t="str">
        <f ca="1">IFERROR(__xludf.DUMMYFUNCTION("""COMPUTED_VALUE"""),"Model S P85")</f>
        <v>Model S P85</v>
      </c>
      <c r="C646">
        <f ca="1">IFERROR(__xludf.DUMMYFUNCTION("""COMPUTED_VALUE"""),404)</f>
        <v>404</v>
      </c>
      <c r="D646">
        <f ca="1">IFERROR(__xludf.DUMMYFUNCTION("""COMPUTED_VALUE"""),114400)</f>
        <v>114400</v>
      </c>
      <c r="E646">
        <f ca="1">IFERROR(__xludf.DUMMYFUNCTION("""COMPUTED_VALUE"""),375)</f>
        <v>375</v>
      </c>
      <c r="F646">
        <v>395</v>
      </c>
      <c r="G646">
        <v>0.94936708860759489</v>
      </c>
      <c r="H646">
        <v>71085</v>
      </c>
      <c r="I646">
        <v>114400</v>
      </c>
      <c r="J646">
        <v>71085</v>
      </c>
      <c r="K646">
        <v>0.93383552091009758</v>
      </c>
      <c r="L646">
        <f t="shared" ca="1" si="68"/>
        <v>233.01412500000001</v>
      </c>
      <c r="M646">
        <f t="shared" si="69"/>
        <v>245.44154499999999</v>
      </c>
      <c r="N646">
        <v>71085</v>
      </c>
      <c r="O646">
        <f t="shared" ca="1" si="70"/>
        <v>0.949367088607595</v>
      </c>
    </row>
    <row r="647" spans="1:15" x14ac:dyDescent="0.2">
      <c r="A647" t="str">
        <f ca="1">IFERROR(__xludf.DUMMYFUNCTION("""COMPUTED_VALUE"""),"km")</f>
        <v>km</v>
      </c>
      <c r="B647" t="str">
        <f ca="1">IFERROR(__xludf.DUMMYFUNCTION("""COMPUTED_VALUE"""),"Model S 85")</f>
        <v>Model S 85</v>
      </c>
      <c r="C647">
        <f ca="1">IFERROR(__xludf.DUMMYFUNCTION("""COMPUTED_VALUE"""),401)</f>
        <v>401</v>
      </c>
      <c r="D647">
        <f ca="1">IFERROR(__xludf.DUMMYFUNCTION("""COMPUTED_VALUE"""),51815)</f>
        <v>51815</v>
      </c>
      <c r="E647">
        <f ca="1">IFERROR(__xludf.DUMMYFUNCTION("""COMPUTED_VALUE"""),375)</f>
        <v>375</v>
      </c>
      <c r="F647">
        <v>395</v>
      </c>
      <c r="G647">
        <v>0.94936708860759489</v>
      </c>
      <c r="H647">
        <v>32196</v>
      </c>
      <c r="I647">
        <v>51815</v>
      </c>
      <c r="J647">
        <v>32196</v>
      </c>
      <c r="K647">
        <v>0.96694118729109402</v>
      </c>
      <c r="L647">
        <f t="shared" ca="1" si="68"/>
        <v>233.01412500000001</v>
      </c>
      <c r="M647">
        <f t="shared" si="69"/>
        <v>245.44154499999999</v>
      </c>
      <c r="N647">
        <v>32196</v>
      </c>
      <c r="O647">
        <f t="shared" ca="1" si="70"/>
        <v>0.949367088607595</v>
      </c>
    </row>
    <row r="648" spans="1:15" x14ac:dyDescent="0.2">
      <c r="A648" t="str">
        <f ca="1">IFERROR(__xludf.DUMMYFUNCTION("""COMPUTED_VALUE"""),"km")</f>
        <v>km</v>
      </c>
      <c r="B648" t="str">
        <f ca="1">IFERROR(__xludf.DUMMYFUNCTION("""COMPUTED_VALUE"""),"Model S 85")</f>
        <v>Model S 85</v>
      </c>
      <c r="C648">
        <f ca="1">IFERROR(__xludf.DUMMYFUNCTION("""COMPUTED_VALUE"""),383)</f>
        <v>383</v>
      </c>
      <c r="D648">
        <f ca="1">IFERROR(__xludf.DUMMYFUNCTION("""COMPUTED_VALUE"""),63372)</f>
        <v>63372</v>
      </c>
      <c r="E648">
        <f ca="1">IFERROR(__xludf.DUMMYFUNCTION("""COMPUTED_VALUE"""),375)</f>
        <v>375</v>
      </c>
      <c r="F648">
        <v>395</v>
      </c>
      <c r="G648">
        <v>0.94936708860759489</v>
      </c>
      <c r="H648">
        <v>39378</v>
      </c>
      <c r="I648">
        <v>63372</v>
      </c>
      <c r="J648">
        <v>39378</v>
      </c>
      <c r="K648">
        <v>0.96025223082880795</v>
      </c>
      <c r="L648">
        <f t="shared" ca="1" si="68"/>
        <v>233.01412500000001</v>
      </c>
      <c r="M648">
        <f t="shared" si="69"/>
        <v>245.44154499999999</v>
      </c>
      <c r="N648">
        <v>39378</v>
      </c>
      <c r="O648">
        <f t="shared" ca="1" si="70"/>
        <v>0.949367088607595</v>
      </c>
    </row>
    <row r="649" spans="1:15" x14ac:dyDescent="0.2">
      <c r="A649" t="str">
        <f ca="1">IFERROR(__xludf.DUMMYFUNCTION("""COMPUTED_VALUE"""),"km")</f>
        <v>km</v>
      </c>
      <c r="B649" t="str">
        <f ca="1">IFERROR(__xludf.DUMMYFUNCTION("""COMPUTED_VALUE"""),"Model S 85")</f>
        <v>Model S 85</v>
      </c>
      <c r="D649">
        <f ca="1">IFERROR(__xludf.DUMMYFUNCTION("""COMPUTED_VALUE"""),81000)</f>
        <v>81000</v>
      </c>
      <c r="E649">
        <f ca="1">IFERROR(__xludf.DUMMYFUNCTION("""COMPUTED_VALUE"""),375)</f>
        <v>375</v>
      </c>
      <c r="F649">
        <v>395</v>
      </c>
      <c r="G649">
        <v>0.94936708860759489</v>
      </c>
      <c r="H649">
        <v>50331</v>
      </c>
      <c r="I649">
        <v>81000</v>
      </c>
      <c r="J649">
        <v>50331</v>
      </c>
      <c r="K649">
        <v>0.95054532468814801</v>
      </c>
      <c r="L649">
        <f t="shared" ca="1" si="68"/>
        <v>233.01412500000001</v>
      </c>
      <c r="M649">
        <f t="shared" si="69"/>
        <v>245.44154499999999</v>
      </c>
      <c r="N649">
        <v>50331</v>
      </c>
      <c r="O649">
        <f t="shared" ca="1" si="70"/>
        <v>0.949367088607595</v>
      </c>
    </row>
    <row r="650" spans="1:15" x14ac:dyDescent="0.2">
      <c r="A650" t="str">
        <f ca="1">IFERROR(__xludf.DUMMYFUNCTION("""COMPUTED_VALUE"""),"km")</f>
        <v>km</v>
      </c>
      <c r="B650" t="str">
        <f ca="1">IFERROR(__xludf.DUMMYFUNCTION("""COMPUTED_VALUE"""),"Model S 85")</f>
        <v>Model S 85</v>
      </c>
      <c r="D650">
        <f ca="1">IFERROR(__xludf.DUMMYFUNCTION("""COMPUTED_VALUE"""),57500)</f>
        <v>57500</v>
      </c>
      <c r="E650">
        <f ca="1">IFERROR(__xludf.DUMMYFUNCTION("""COMPUTED_VALUE"""),375)</f>
        <v>375</v>
      </c>
      <c r="F650">
        <v>395</v>
      </c>
      <c r="G650">
        <v>0.94936708860759489</v>
      </c>
      <c r="H650">
        <v>35729</v>
      </c>
      <c r="I650">
        <v>57500</v>
      </c>
      <c r="J650">
        <v>35729</v>
      </c>
      <c r="K650">
        <v>0.96361893834914714</v>
      </c>
      <c r="L650">
        <f t="shared" ca="1" si="68"/>
        <v>233.01412500000001</v>
      </c>
      <c r="M650">
        <f t="shared" si="69"/>
        <v>245.44154499999999</v>
      </c>
      <c r="N650">
        <v>35729</v>
      </c>
      <c r="O650">
        <f t="shared" ca="1" si="70"/>
        <v>0.949367088607595</v>
      </c>
    </row>
    <row r="651" spans="1:15" x14ac:dyDescent="0.2">
      <c r="A651" t="str">
        <f ca="1">IFERROR(__xludf.DUMMYFUNCTION("""COMPUTED_VALUE"""),"km")</f>
        <v>km</v>
      </c>
      <c r="B651" t="str">
        <f ca="1">IFERROR(__xludf.DUMMYFUNCTION("""COMPUTED_VALUE"""),"Model S 85")</f>
        <v>Model S 85</v>
      </c>
      <c r="D651">
        <f ca="1">IFERROR(__xludf.DUMMYFUNCTION("""COMPUTED_VALUE"""),78500)</f>
        <v>78500</v>
      </c>
      <c r="E651">
        <f ca="1">IFERROR(__xludf.DUMMYFUNCTION("""COMPUTED_VALUE"""),375)</f>
        <v>375</v>
      </c>
      <c r="F651">
        <v>395</v>
      </c>
      <c r="G651">
        <v>0.94936708860759489</v>
      </c>
      <c r="H651">
        <v>48778</v>
      </c>
      <c r="I651">
        <v>78500</v>
      </c>
      <c r="J651">
        <v>48778</v>
      </c>
      <c r="K651">
        <v>0.95188513814487963</v>
      </c>
      <c r="L651">
        <f t="shared" ca="1" si="68"/>
        <v>233.01412500000001</v>
      </c>
      <c r="M651">
        <f t="shared" si="69"/>
        <v>245.44154499999999</v>
      </c>
      <c r="N651">
        <v>48778</v>
      </c>
      <c r="O651">
        <f t="shared" ca="1" si="70"/>
        <v>0.949367088607595</v>
      </c>
    </row>
    <row r="652" spans="1:15" x14ac:dyDescent="0.2">
      <c r="A652" t="str">
        <f ca="1">IFERROR(__xludf.DUMMYFUNCTION("""COMPUTED_VALUE"""),"km")</f>
        <v>km</v>
      </c>
      <c r="B652" t="str">
        <f ca="1">IFERROR(__xludf.DUMMYFUNCTION("""COMPUTED_VALUE"""),"Model S 85")</f>
        <v>Model S 85</v>
      </c>
      <c r="D652">
        <f ca="1">IFERROR(__xludf.DUMMYFUNCTION("""COMPUTED_VALUE"""),74020)</f>
        <v>74020</v>
      </c>
      <c r="E652">
        <f ca="1">IFERROR(__xludf.DUMMYFUNCTION("""COMPUTED_VALUE"""),375)</f>
        <v>375</v>
      </c>
      <c r="F652">
        <v>395</v>
      </c>
      <c r="G652">
        <v>0.94936708860759489</v>
      </c>
      <c r="H652">
        <v>45994</v>
      </c>
      <c r="I652">
        <v>74020</v>
      </c>
      <c r="J652">
        <v>45994</v>
      </c>
      <c r="K652">
        <v>0.95431664872900124</v>
      </c>
      <c r="L652">
        <f t="shared" ca="1" si="68"/>
        <v>233.01412500000001</v>
      </c>
      <c r="M652">
        <f t="shared" si="69"/>
        <v>245.44154499999999</v>
      </c>
      <c r="N652">
        <v>45994</v>
      </c>
      <c r="O652">
        <f t="shared" ca="1" si="70"/>
        <v>0.949367088607595</v>
      </c>
    </row>
    <row r="653" spans="1:15" x14ac:dyDescent="0.2">
      <c r="A653" t="str">
        <f ca="1">IFERROR(__xludf.DUMMYFUNCTION("""COMPUTED_VALUE"""),"km")</f>
        <v>km</v>
      </c>
      <c r="B653" t="str">
        <f ca="1">IFERROR(__xludf.DUMMYFUNCTION("""COMPUTED_VALUE"""),"Unspecified 85 kWh")</f>
        <v>Unspecified 85 kWh</v>
      </c>
      <c r="D653">
        <f ca="1">IFERROR(__xludf.DUMMYFUNCTION("""COMPUTED_VALUE"""),51255)</f>
        <v>51255</v>
      </c>
      <c r="E653">
        <f ca="1">IFERROR(__xludf.DUMMYFUNCTION("""COMPUTED_VALUE"""),375)</f>
        <v>375</v>
      </c>
      <c r="F653">
        <v>395</v>
      </c>
      <c r="G653">
        <v>0.94936708860759489</v>
      </c>
      <c r="H653">
        <v>31848</v>
      </c>
      <c r="I653">
        <v>51255</v>
      </c>
      <c r="J653">
        <v>31848</v>
      </c>
      <c r="K653">
        <v>0.96727177009793364</v>
      </c>
      <c r="L653">
        <f t="shared" ca="1" si="68"/>
        <v>233.01412500000001</v>
      </c>
      <c r="M653">
        <f t="shared" si="69"/>
        <v>245.44154499999999</v>
      </c>
      <c r="N653">
        <v>31848</v>
      </c>
      <c r="O653">
        <f t="shared" ca="1" si="70"/>
        <v>0.949367088607595</v>
      </c>
    </row>
    <row r="654" spans="1:15" x14ac:dyDescent="0.2">
      <c r="A654" t="str">
        <f ca="1">IFERROR(__xludf.DUMMYFUNCTION("""COMPUTED_VALUE"""),"km")</f>
        <v>km</v>
      </c>
      <c r="B654" t="str">
        <f ca="1">IFERROR(__xludf.DUMMYFUNCTION("""COMPUTED_VALUE"""),"Model S 85")</f>
        <v>Model S 85</v>
      </c>
      <c r="D654">
        <f ca="1">IFERROR(__xludf.DUMMYFUNCTION("""COMPUTED_VALUE"""),41000)</f>
        <v>41000</v>
      </c>
      <c r="E654">
        <f ca="1">IFERROR(__xludf.DUMMYFUNCTION("""COMPUTED_VALUE"""),375)</f>
        <v>375</v>
      </c>
      <c r="F654">
        <v>395</v>
      </c>
      <c r="G654">
        <v>0.94936708860759489</v>
      </c>
      <c r="H654">
        <v>25476</v>
      </c>
      <c r="I654">
        <v>41000</v>
      </c>
      <c r="J654">
        <v>25476</v>
      </c>
      <c r="K654">
        <v>0.97343036521734783</v>
      </c>
      <c r="L654">
        <f t="shared" ca="1" si="68"/>
        <v>233.01412500000001</v>
      </c>
      <c r="M654">
        <f t="shared" si="69"/>
        <v>245.44154499999999</v>
      </c>
      <c r="N654">
        <v>25476</v>
      </c>
      <c r="O654">
        <f t="shared" ca="1" si="70"/>
        <v>0.949367088607595</v>
      </c>
    </row>
    <row r="655" spans="1:15" x14ac:dyDescent="0.2">
      <c r="A655" t="str">
        <f ca="1">IFERROR(__xludf.DUMMYFUNCTION("""COMPUTED_VALUE"""),"km")</f>
        <v>km</v>
      </c>
      <c r="B655" t="str">
        <f ca="1">IFERROR(__xludf.DUMMYFUNCTION("""COMPUTED_VALUE"""),"Model S P85")</f>
        <v>Model S P85</v>
      </c>
      <c r="D655">
        <f ca="1">IFERROR(__xludf.DUMMYFUNCTION("""COMPUTED_VALUE"""),33000)</f>
        <v>33000</v>
      </c>
      <c r="E655">
        <f ca="1">IFERROR(__xludf.DUMMYFUNCTION("""COMPUTED_VALUE"""),375)</f>
        <v>375</v>
      </c>
      <c r="F655">
        <v>395</v>
      </c>
      <c r="G655">
        <v>0.94936708860759489</v>
      </c>
      <c r="H655">
        <v>20505</v>
      </c>
      <c r="I655">
        <v>33000</v>
      </c>
      <c r="J655">
        <v>20505</v>
      </c>
      <c r="K655">
        <v>0.97837174568397722</v>
      </c>
      <c r="L655">
        <f t="shared" ca="1" si="68"/>
        <v>233.01412500000001</v>
      </c>
      <c r="M655">
        <f t="shared" si="69"/>
        <v>245.44154499999999</v>
      </c>
      <c r="N655">
        <v>20505</v>
      </c>
      <c r="O655">
        <f t="shared" ca="1" si="70"/>
        <v>0.949367088607595</v>
      </c>
    </row>
    <row r="656" spans="1:15" x14ac:dyDescent="0.2">
      <c r="A656" t="str">
        <f ca="1">IFERROR(__xludf.DUMMYFUNCTION("""COMPUTED_VALUE"""),"km")</f>
        <v>km</v>
      </c>
      <c r="B656" t="str">
        <f ca="1">IFERROR(__xludf.DUMMYFUNCTION("""COMPUTED_VALUE"""),"Model S P85")</f>
        <v>Model S P85</v>
      </c>
      <c r="D656">
        <f ca="1">IFERROR(__xludf.DUMMYFUNCTION("""COMPUTED_VALUE"""),84000)</f>
        <v>84000</v>
      </c>
      <c r="E656">
        <f ca="1">IFERROR(__xludf.DUMMYFUNCTION("""COMPUTED_VALUE"""),375)</f>
        <v>375</v>
      </c>
      <c r="F656">
        <v>395</v>
      </c>
      <c r="G656">
        <v>0.94936708860759489</v>
      </c>
      <c r="H656">
        <v>52195</v>
      </c>
      <c r="I656">
        <v>84000</v>
      </c>
      <c r="J656">
        <v>52195</v>
      </c>
      <c r="K656">
        <v>0.94895373728199439</v>
      </c>
      <c r="L656">
        <f t="shared" ca="1" si="68"/>
        <v>233.01412500000001</v>
      </c>
      <c r="M656">
        <f t="shared" si="69"/>
        <v>245.44154499999999</v>
      </c>
      <c r="N656">
        <v>52195</v>
      </c>
      <c r="O656">
        <f t="shared" ca="1" si="70"/>
        <v>0.949367088607595</v>
      </c>
    </row>
    <row r="657" spans="1:15" x14ac:dyDescent="0.2">
      <c r="A657" t="str">
        <f ca="1">IFERROR(__xludf.DUMMYFUNCTION("""COMPUTED_VALUE"""),"km")</f>
        <v>km</v>
      </c>
      <c r="B657" t="str">
        <f ca="1">IFERROR(__xludf.DUMMYFUNCTION("""COMPUTED_VALUE"""),"Model 3 LR AWD")</f>
        <v>Model 3 LR AWD</v>
      </c>
      <c r="C657">
        <f ca="1">IFERROR(__xludf.DUMMYFUNCTION("""COMPUTED_VALUE"""),502)</f>
        <v>502</v>
      </c>
      <c r="D657">
        <f ca="1">IFERROR(__xludf.DUMMYFUNCTION("""COMPUTED_VALUE"""),63285)</f>
        <v>63285</v>
      </c>
      <c r="E657">
        <f ca="1">IFERROR(__xludf.DUMMYFUNCTION("""COMPUTED_VALUE"""),474)</f>
        <v>474</v>
      </c>
      <c r="F657">
        <v>499</v>
      </c>
      <c r="G657">
        <v>0.94989979959919835</v>
      </c>
      <c r="H657">
        <v>39323</v>
      </c>
      <c r="I657">
        <v>63285</v>
      </c>
      <c r="J657">
        <v>39323</v>
      </c>
      <c r="K657">
        <v>0.96030162938949037</v>
      </c>
      <c r="L657">
        <f t="shared" ca="1" si="68"/>
        <v>294.529854</v>
      </c>
      <c r="M657">
        <f t="shared" si="69"/>
        <v>310.06412899999998</v>
      </c>
      <c r="N657">
        <v>39323</v>
      </c>
      <c r="O657">
        <f t="shared" ca="1" si="70"/>
        <v>0.94989979959919846</v>
      </c>
    </row>
    <row r="658" spans="1:15" x14ac:dyDescent="0.2">
      <c r="A658" t="str">
        <f ca="1">IFERROR(__xludf.DUMMYFUNCTION("""COMPUTED_VALUE"""),"km")</f>
        <v>km</v>
      </c>
      <c r="B658" t="str">
        <f ca="1">IFERROR(__xludf.DUMMYFUNCTION("""COMPUTED_VALUE"""),"Model 3 P")</f>
        <v>Model 3 P</v>
      </c>
      <c r="D658">
        <f ca="1">IFERROR(__xludf.DUMMYFUNCTION("""COMPUTED_VALUE"""),33500)</f>
        <v>33500</v>
      </c>
      <c r="E658">
        <f ca="1">IFERROR(__xludf.DUMMYFUNCTION("""COMPUTED_VALUE"""),474)</f>
        <v>474</v>
      </c>
      <c r="F658">
        <v>499</v>
      </c>
      <c r="G658">
        <v>0.94989979959919835</v>
      </c>
      <c r="H658">
        <v>20816</v>
      </c>
      <c r="I658">
        <v>33500</v>
      </c>
      <c r="J658">
        <v>20816</v>
      </c>
      <c r="K658">
        <v>0.97805941471542623</v>
      </c>
      <c r="L658">
        <f t="shared" ca="1" si="68"/>
        <v>294.529854</v>
      </c>
      <c r="M658">
        <f t="shared" si="69"/>
        <v>310.06412899999998</v>
      </c>
      <c r="N658">
        <v>20816</v>
      </c>
      <c r="O658">
        <f t="shared" ca="1" si="70"/>
        <v>0.94989979959919846</v>
      </c>
    </row>
    <row r="659" spans="1:15" x14ac:dyDescent="0.2">
      <c r="A659" t="str">
        <f ca="1">IFERROR(__xludf.DUMMYFUNCTION("""COMPUTED_VALUE"""),"km")</f>
        <v>km</v>
      </c>
      <c r="B659" t="str">
        <f ca="1">IFERROR(__xludf.DUMMYFUNCTION("""COMPUTED_VALUE"""),"Model 3 P")</f>
        <v>Model 3 P</v>
      </c>
      <c r="C659">
        <f ca="1">IFERROR(__xludf.DUMMYFUNCTION("""COMPUTED_VALUE"""),499)</f>
        <v>499</v>
      </c>
      <c r="D659">
        <f ca="1">IFERROR(__xludf.DUMMYFUNCTION("""COMPUTED_VALUE"""),20000)</f>
        <v>20000</v>
      </c>
      <c r="E659">
        <f ca="1">IFERROR(__xludf.DUMMYFUNCTION("""COMPUTED_VALUE"""),474)</f>
        <v>474</v>
      </c>
      <c r="F659">
        <v>499</v>
      </c>
      <c r="G659">
        <v>0.94989979959919835</v>
      </c>
      <c r="H659">
        <v>12427</v>
      </c>
      <c r="I659">
        <v>20000</v>
      </c>
      <c r="J659">
        <v>12427</v>
      </c>
      <c r="K659">
        <v>0.98665460835518037</v>
      </c>
      <c r="L659">
        <f t="shared" ca="1" si="68"/>
        <v>294.529854</v>
      </c>
      <c r="M659">
        <f t="shared" si="69"/>
        <v>310.06412899999998</v>
      </c>
      <c r="N659">
        <v>12427</v>
      </c>
      <c r="O659">
        <f t="shared" ca="1" si="70"/>
        <v>0.94989979959919846</v>
      </c>
    </row>
    <row r="660" spans="1:15" x14ac:dyDescent="0.2">
      <c r="A660" t="str">
        <f ca="1">IFERROR(__xludf.DUMMYFUNCTION("""COMPUTED_VALUE"""),"km")</f>
        <v>km</v>
      </c>
      <c r="B660" t="str">
        <f ca="1">IFERROR(__xludf.DUMMYFUNCTION("""COMPUTED_VALUE"""),"Model X 90D")</f>
        <v>Model X 90D</v>
      </c>
      <c r="C660">
        <f ca="1">IFERROR(__xludf.DUMMYFUNCTION("""COMPUTED_VALUE"""),399)</f>
        <v>399</v>
      </c>
      <c r="D660">
        <f ca="1">IFERROR(__xludf.DUMMYFUNCTION("""COMPUTED_VALUE"""),81000)</f>
        <v>81000</v>
      </c>
      <c r="E660">
        <f ca="1">IFERROR(__xludf.DUMMYFUNCTION("""COMPUTED_VALUE"""),380)</f>
        <v>380</v>
      </c>
      <c r="F660">
        <v>400</v>
      </c>
      <c r="G660">
        <v>0.95</v>
      </c>
      <c r="H660">
        <v>50331</v>
      </c>
      <c r="I660">
        <v>81000</v>
      </c>
      <c r="J660">
        <v>50331</v>
      </c>
      <c r="K660">
        <v>0.95054532468814801</v>
      </c>
      <c r="L660">
        <f t="shared" ca="1" si="68"/>
        <v>236.12098</v>
      </c>
      <c r="M660">
        <f t="shared" si="69"/>
        <v>248.54840000000002</v>
      </c>
      <c r="N660">
        <v>50331</v>
      </c>
      <c r="O660">
        <f t="shared" ca="1" si="70"/>
        <v>0.95</v>
      </c>
    </row>
    <row r="661" spans="1:15" x14ac:dyDescent="0.2">
      <c r="A661" t="str">
        <f ca="1">IFERROR(__xludf.DUMMYFUNCTION("""COMPUTED_VALUE"""),"km")</f>
        <v>km</v>
      </c>
      <c r="B661" t="str">
        <f ca="1">IFERROR(__xludf.DUMMYFUNCTION("""COMPUTED_VALUE"""),"Model S 70D")</f>
        <v>Model S 70D</v>
      </c>
      <c r="C661">
        <f ca="1">IFERROR(__xludf.DUMMYFUNCTION("""COMPUTED_VALUE"""),360)</f>
        <v>360</v>
      </c>
      <c r="D661">
        <f ca="1">IFERROR(__xludf.DUMMYFUNCTION("""COMPUTED_VALUE"""),110000)</f>
        <v>110000</v>
      </c>
      <c r="E661">
        <f ca="1">IFERROR(__xludf.DUMMYFUNCTION("""COMPUTED_VALUE"""),342)</f>
        <v>342</v>
      </c>
      <c r="F661">
        <v>360</v>
      </c>
      <c r="G661">
        <v>0.95</v>
      </c>
      <c r="H661">
        <v>68351</v>
      </c>
      <c r="I661">
        <v>110000</v>
      </c>
      <c r="J661">
        <v>68351</v>
      </c>
      <c r="K661">
        <v>0.93590864771648052</v>
      </c>
      <c r="L661">
        <f t="shared" ca="1" si="68"/>
        <v>212.508882</v>
      </c>
      <c r="M661">
        <f t="shared" si="69"/>
        <v>223.69355999999999</v>
      </c>
      <c r="N661">
        <v>68351</v>
      </c>
      <c r="O661">
        <f t="shared" ca="1" si="70"/>
        <v>0.95000000000000007</v>
      </c>
    </row>
    <row r="662" spans="1:15" x14ac:dyDescent="0.2">
      <c r="A662" t="str">
        <f ca="1">IFERROR(__xludf.DUMMYFUNCTION("""COMPUTED_VALUE"""),"km")</f>
        <v>km</v>
      </c>
      <c r="B662" t="str">
        <f ca="1">IFERROR(__xludf.DUMMYFUNCTION("""COMPUTED_VALUE"""),"Model S 70D")</f>
        <v>Model S 70D</v>
      </c>
      <c r="D662">
        <f ca="1">IFERROR(__xludf.DUMMYFUNCTION("""COMPUTED_VALUE"""),164300)</f>
        <v>164300</v>
      </c>
      <c r="E662">
        <f ca="1">IFERROR(__xludf.DUMMYFUNCTION("""COMPUTED_VALUE"""),342)</f>
        <v>342</v>
      </c>
      <c r="F662">
        <v>360</v>
      </c>
      <c r="G662">
        <v>0.95</v>
      </c>
      <c r="H662">
        <v>102091</v>
      </c>
      <c r="I662">
        <v>164300</v>
      </c>
      <c r="J662">
        <v>102091</v>
      </c>
      <c r="K662">
        <v>0.91313327790061216</v>
      </c>
      <c r="L662">
        <f t="shared" ca="1" si="68"/>
        <v>212.508882</v>
      </c>
      <c r="M662">
        <f t="shared" si="69"/>
        <v>223.69355999999999</v>
      </c>
      <c r="N662">
        <v>102091</v>
      </c>
      <c r="O662">
        <f t="shared" ca="1" si="70"/>
        <v>0.95000000000000007</v>
      </c>
    </row>
    <row r="663" spans="1:15" x14ac:dyDescent="0.2">
      <c r="A663" t="str">
        <f ca="1">IFERROR(__xludf.DUMMYFUNCTION("""COMPUTED_VALUE"""),"km")</f>
        <v>km</v>
      </c>
      <c r="B663" t="str">
        <f ca="1">IFERROR(__xludf.DUMMYFUNCTION("""COMPUTED_VALUE"""),"Model S 70D")</f>
        <v>Model S 70D</v>
      </c>
      <c r="C663">
        <f ca="1">IFERROR(__xludf.DUMMYFUNCTION("""COMPUTED_VALUE"""),352)</f>
        <v>352</v>
      </c>
      <c r="D663">
        <f ca="1">IFERROR(__xludf.DUMMYFUNCTION("""COMPUTED_VALUE"""),60219)</f>
        <v>60219</v>
      </c>
      <c r="E663">
        <f ca="1">IFERROR(__xludf.DUMMYFUNCTION("""COMPUTED_VALUE"""),342)</f>
        <v>342</v>
      </c>
      <c r="F663">
        <v>360</v>
      </c>
      <c r="G663">
        <v>0.95</v>
      </c>
      <c r="H663">
        <v>37418</v>
      </c>
      <c r="I663">
        <v>60219</v>
      </c>
      <c r="J663">
        <v>37418</v>
      </c>
      <c r="K663">
        <v>0.96205178644996081</v>
      </c>
      <c r="L663">
        <f t="shared" ca="1" si="68"/>
        <v>212.508882</v>
      </c>
      <c r="M663">
        <f t="shared" si="69"/>
        <v>223.69355999999999</v>
      </c>
      <c r="N663">
        <v>37418</v>
      </c>
      <c r="O663">
        <f t="shared" ca="1" si="70"/>
        <v>0.95000000000000007</v>
      </c>
    </row>
    <row r="664" spans="1:15" x14ac:dyDescent="0.2">
      <c r="A664" t="str">
        <f ca="1">IFERROR(__xludf.DUMMYFUNCTION("""COMPUTED_VALUE"""),"km")</f>
        <v>km</v>
      </c>
      <c r="B664" t="str">
        <f ca="1">IFERROR(__xludf.DUMMYFUNCTION("""COMPUTED_VALUE"""),"Model S 70D")</f>
        <v>Model S 70D</v>
      </c>
      <c r="C664">
        <f ca="1">IFERROR(__xludf.DUMMYFUNCTION("""COMPUTED_VALUE"""),360)</f>
        <v>360</v>
      </c>
      <c r="D664">
        <f ca="1">IFERROR(__xludf.DUMMYFUNCTION("""COMPUTED_VALUE"""),42193)</f>
        <v>42193</v>
      </c>
      <c r="E664">
        <f ca="1">IFERROR(__xludf.DUMMYFUNCTION("""COMPUTED_VALUE"""),342.04)</f>
        <v>342.04</v>
      </c>
      <c r="F664">
        <v>360</v>
      </c>
      <c r="G664">
        <v>0.95011111111111113</v>
      </c>
      <c r="H664">
        <v>26218</v>
      </c>
      <c r="I664">
        <v>42193</v>
      </c>
      <c r="J664">
        <v>26218</v>
      </c>
      <c r="K664">
        <v>0.97270373610741179</v>
      </c>
      <c r="L664">
        <f t="shared" ca="1" si="68"/>
        <v>212.53373684000002</v>
      </c>
      <c r="M664">
        <f t="shared" si="69"/>
        <v>223.69355999999999</v>
      </c>
      <c r="N664">
        <v>26218</v>
      </c>
      <c r="O664">
        <f t="shared" ca="1" si="70"/>
        <v>0.95011111111111124</v>
      </c>
    </row>
    <row r="665" spans="1:15" x14ac:dyDescent="0.2">
      <c r="A665" t="str">
        <f ca="1">IFERROR(__xludf.DUMMYFUNCTION("""COMPUTED_VALUE"""),"km")</f>
        <v>km</v>
      </c>
      <c r="B665" t="str">
        <f ca="1">IFERROR(__xludf.DUMMYFUNCTION("""COMPUTED_VALUE"""),"Model 3 SR+")</f>
        <v>Model 3 SR+</v>
      </c>
      <c r="D665">
        <f ca="1">IFERROR(__xludf.DUMMYFUNCTION("""COMPUTED_VALUE"""),8849)</f>
        <v>8849</v>
      </c>
      <c r="E665">
        <f ca="1">IFERROR(__xludf.DUMMYFUNCTION("""COMPUTED_VALUE"""),362)</f>
        <v>362</v>
      </c>
      <c r="F665">
        <v>381</v>
      </c>
      <c r="G665">
        <v>0.95013123359580054</v>
      </c>
      <c r="H665">
        <v>5499</v>
      </c>
      <c r="I665">
        <v>8849</v>
      </c>
      <c r="J665">
        <v>5499</v>
      </c>
      <c r="K665">
        <v>0.99400607035246069</v>
      </c>
      <c r="L665">
        <f t="shared" ca="1" si="68"/>
        <v>224.93630200000001</v>
      </c>
      <c r="M665">
        <f t="shared" si="69"/>
        <v>236.74235100000001</v>
      </c>
      <c r="N665">
        <v>5499</v>
      </c>
      <c r="O665">
        <f t="shared" ca="1" si="70"/>
        <v>0.95013123359580054</v>
      </c>
    </row>
    <row r="666" spans="1:15" x14ac:dyDescent="0.2">
      <c r="A666" t="str">
        <f ca="1">IFERROR(__xludf.DUMMYFUNCTION("""COMPUTED_VALUE"""),"km")</f>
        <v>km</v>
      </c>
      <c r="B666" t="str">
        <f ca="1">IFERROR(__xludf.DUMMYFUNCTION("""COMPUTED_VALUE"""),"Model S P85D")</f>
        <v>Model S P85D</v>
      </c>
      <c r="C666">
        <f ca="1">IFERROR(__xludf.DUMMYFUNCTION("""COMPUTED_VALUE"""),404)</f>
        <v>404</v>
      </c>
      <c r="D666">
        <f ca="1">IFERROR(__xludf.DUMMYFUNCTION("""COMPUTED_VALUE"""),88900)</f>
        <v>88900</v>
      </c>
      <c r="E666">
        <f ca="1">IFERROR(__xludf.DUMMYFUNCTION("""COMPUTED_VALUE"""),383)</f>
        <v>383</v>
      </c>
      <c r="F666">
        <v>403</v>
      </c>
      <c r="G666">
        <v>0.95037220843672454</v>
      </c>
      <c r="H666">
        <v>55240</v>
      </c>
      <c r="I666">
        <v>88900</v>
      </c>
      <c r="J666">
        <v>55240</v>
      </c>
      <c r="K666">
        <v>0.94639227409831816</v>
      </c>
      <c r="L666">
        <f t="shared" ca="1" si="68"/>
        <v>237.98509300000001</v>
      </c>
      <c r="M666">
        <f t="shared" si="69"/>
        <v>250.41251299999999</v>
      </c>
      <c r="N666">
        <v>55240</v>
      </c>
      <c r="O666">
        <f t="shared" ca="1" si="70"/>
        <v>0.95037220843672465</v>
      </c>
    </row>
    <row r="667" spans="1:15" x14ac:dyDescent="0.2">
      <c r="A667" t="str">
        <f ca="1">IFERROR(__xludf.DUMMYFUNCTION("""COMPUTED_VALUE"""),"km")</f>
        <v>km</v>
      </c>
      <c r="B667" t="str">
        <f ca="1">IFERROR(__xludf.DUMMYFUNCTION("""COMPUTED_VALUE"""),"Model S P85D")</f>
        <v>Model S P85D</v>
      </c>
      <c r="C667">
        <f ca="1">IFERROR(__xludf.DUMMYFUNCTION("""COMPUTED_VALUE"""),406)</f>
        <v>406</v>
      </c>
      <c r="D667">
        <f ca="1">IFERROR(__xludf.DUMMYFUNCTION("""COMPUTED_VALUE"""),34205)</f>
        <v>34205</v>
      </c>
      <c r="E667">
        <f ca="1">IFERROR(__xludf.DUMMYFUNCTION("""COMPUTED_VALUE"""),383)</f>
        <v>383</v>
      </c>
      <c r="F667">
        <v>403</v>
      </c>
      <c r="G667">
        <v>0.95037220843672454</v>
      </c>
      <c r="H667">
        <v>21254</v>
      </c>
      <c r="I667">
        <v>34205</v>
      </c>
      <c r="J667">
        <v>21254</v>
      </c>
      <c r="K667">
        <v>0.97761981770180117</v>
      </c>
      <c r="L667">
        <f t="shared" ca="1" si="68"/>
        <v>237.98509300000001</v>
      </c>
      <c r="M667">
        <f t="shared" si="69"/>
        <v>250.41251299999999</v>
      </c>
      <c r="N667">
        <v>21254</v>
      </c>
      <c r="O667">
        <f t="shared" ca="1" si="70"/>
        <v>0.95037220843672465</v>
      </c>
    </row>
    <row r="668" spans="1:15" x14ac:dyDescent="0.2">
      <c r="A668" t="str">
        <f ca="1">IFERROR(__xludf.DUMMYFUNCTION("""COMPUTED_VALUE"""),"km")</f>
        <v>km</v>
      </c>
      <c r="B668" t="str">
        <f ca="1">IFERROR(__xludf.DUMMYFUNCTION("""COMPUTED_VALUE"""),"Model S P85D")</f>
        <v>Model S P85D</v>
      </c>
      <c r="C668">
        <f ca="1">IFERROR(__xludf.DUMMYFUNCTION("""COMPUTED_VALUE"""),406)</f>
        <v>406</v>
      </c>
      <c r="D668">
        <f ca="1">IFERROR(__xludf.DUMMYFUNCTION("""COMPUTED_VALUE"""),32910)</f>
        <v>32910</v>
      </c>
      <c r="E668">
        <f ca="1">IFERROR(__xludf.DUMMYFUNCTION("""COMPUTED_VALUE"""),383)</f>
        <v>383</v>
      </c>
      <c r="F668">
        <v>403</v>
      </c>
      <c r="G668">
        <v>0.95037220843672454</v>
      </c>
      <c r="H668">
        <v>20449</v>
      </c>
      <c r="I668">
        <v>32910</v>
      </c>
      <c r="J668">
        <v>20449</v>
      </c>
      <c r="K668">
        <v>0.97842801459174067</v>
      </c>
      <c r="L668">
        <f t="shared" ca="1" si="68"/>
        <v>237.98509300000001</v>
      </c>
      <c r="M668">
        <f t="shared" si="69"/>
        <v>250.41251299999999</v>
      </c>
      <c r="N668">
        <v>20449</v>
      </c>
      <c r="O668">
        <f t="shared" ca="1" si="70"/>
        <v>0.95037220843672465</v>
      </c>
    </row>
    <row r="669" spans="1:15" x14ac:dyDescent="0.2">
      <c r="A669" t="str">
        <f ca="1">IFERROR(__xludf.DUMMYFUNCTION("""COMPUTED_VALUE"""),"km")</f>
        <v>km</v>
      </c>
      <c r="B669" t="str">
        <f ca="1">IFERROR(__xludf.DUMMYFUNCTION("""COMPUTED_VALUE"""),"Model S 85D")</f>
        <v>Model S 85D</v>
      </c>
      <c r="D669">
        <f ca="1">IFERROR(__xludf.DUMMYFUNCTION("""COMPUTED_VALUE"""),42641)</f>
        <v>42641</v>
      </c>
      <c r="E669">
        <f ca="1">IFERROR(__xludf.DUMMYFUNCTION("""COMPUTED_VALUE"""),404)</f>
        <v>404</v>
      </c>
      <c r="F669">
        <v>425</v>
      </c>
      <c r="G669">
        <v>0.95058823529411762</v>
      </c>
      <c r="H669">
        <v>26496</v>
      </c>
      <c r="I669">
        <v>42641</v>
      </c>
      <c r="J669">
        <v>26496</v>
      </c>
      <c r="K669">
        <v>0.97243155940230563</v>
      </c>
      <c r="L669">
        <f t="shared" ca="1" si="68"/>
        <v>251.033884</v>
      </c>
      <c r="M669">
        <f t="shared" si="69"/>
        <v>264.08267499999999</v>
      </c>
      <c r="N669">
        <v>26496</v>
      </c>
      <c r="O669">
        <f t="shared" ca="1" si="70"/>
        <v>0.95058823529411762</v>
      </c>
    </row>
    <row r="670" spans="1:15" x14ac:dyDescent="0.2">
      <c r="A670" t="str">
        <f ca="1">IFERROR(__xludf.DUMMYFUNCTION("""COMPUTED_VALUE"""),"km")</f>
        <v>km</v>
      </c>
      <c r="B670" t="str">
        <f ca="1">IFERROR(__xludf.DUMMYFUNCTION("""COMPUTED_VALUE"""),"Model S 85D")</f>
        <v>Model S 85D</v>
      </c>
      <c r="C670">
        <f ca="1">IFERROR(__xludf.DUMMYFUNCTION("""COMPUTED_VALUE"""),404)</f>
        <v>404</v>
      </c>
      <c r="D670">
        <f ca="1">IFERROR(__xludf.DUMMYFUNCTION("""COMPUTED_VALUE"""),41187)</f>
        <v>41187</v>
      </c>
      <c r="E670">
        <f ca="1">IFERROR(__xludf.DUMMYFUNCTION("""COMPUTED_VALUE"""),404)</f>
        <v>404</v>
      </c>
      <c r="F670">
        <v>425</v>
      </c>
      <c r="G670">
        <v>0.95058823529411762</v>
      </c>
      <c r="H670">
        <v>25592</v>
      </c>
      <c r="I670">
        <v>41187</v>
      </c>
      <c r="J670">
        <v>25592</v>
      </c>
      <c r="K670">
        <v>0.9733162913420641</v>
      </c>
      <c r="L670">
        <f t="shared" ca="1" si="68"/>
        <v>251.033884</v>
      </c>
      <c r="M670">
        <f t="shared" si="69"/>
        <v>264.08267499999999</v>
      </c>
      <c r="N670">
        <v>25592</v>
      </c>
      <c r="O670">
        <f t="shared" ca="1" si="70"/>
        <v>0.95058823529411762</v>
      </c>
    </row>
    <row r="671" spans="1:15" x14ac:dyDescent="0.2">
      <c r="A671" t="str">
        <f ca="1">IFERROR(__xludf.DUMMYFUNCTION("""COMPUTED_VALUE"""),"km")</f>
        <v>km</v>
      </c>
      <c r="B671" t="str">
        <f ca="1">IFERROR(__xludf.DUMMYFUNCTION("""COMPUTED_VALUE"""),"Model S 85D")</f>
        <v>Model S 85D</v>
      </c>
      <c r="D671">
        <f ca="1">IFERROR(__xludf.DUMMYFUNCTION("""COMPUTED_VALUE"""),2200)</f>
        <v>2200</v>
      </c>
      <c r="E671">
        <f ca="1">IFERROR(__xludf.DUMMYFUNCTION("""COMPUTED_VALUE"""),404)</f>
        <v>404</v>
      </c>
      <c r="F671">
        <v>425</v>
      </c>
      <c r="G671">
        <v>0.95058823529411762</v>
      </c>
      <c r="H671">
        <v>1367</v>
      </c>
      <c r="I671">
        <v>2200</v>
      </c>
      <c r="J671">
        <v>1367</v>
      </c>
      <c r="K671">
        <v>0.9984966719185111</v>
      </c>
      <c r="L671">
        <f t="shared" ca="1" si="68"/>
        <v>251.033884</v>
      </c>
      <c r="M671">
        <f t="shared" si="69"/>
        <v>264.08267499999999</v>
      </c>
      <c r="N671">
        <v>1367</v>
      </c>
      <c r="O671">
        <f t="shared" ca="1" si="70"/>
        <v>0.95058823529411762</v>
      </c>
    </row>
    <row r="672" spans="1:15" x14ac:dyDescent="0.2">
      <c r="A672" t="str">
        <f ca="1">IFERROR(__xludf.DUMMYFUNCTION("""COMPUTED_VALUE"""),"km")</f>
        <v>km</v>
      </c>
      <c r="B672" t="str">
        <f ca="1">IFERROR(__xludf.DUMMYFUNCTION("""COMPUTED_VALUE"""),"Model S 85D")</f>
        <v>Model S 85D</v>
      </c>
      <c r="D672">
        <f ca="1">IFERROR(__xludf.DUMMYFUNCTION("""COMPUTED_VALUE"""),8626)</f>
        <v>8626</v>
      </c>
      <c r="E672">
        <f ca="1">IFERROR(__xludf.DUMMYFUNCTION("""COMPUTED_VALUE"""),404)</f>
        <v>404</v>
      </c>
      <c r="F672">
        <v>425</v>
      </c>
      <c r="G672">
        <v>0.95058823529411762</v>
      </c>
      <c r="H672">
        <v>5360</v>
      </c>
      <c r="I672">
        <v>8626</v>
      </c>
      <c r="J672">
        <v>5360</v>
      </c>
      <c r="K672">
        <v>0.99415538831214723</v>
      </c>
      <c r="L672">
        <f t="shared" ca="1" si="68"/>
        <v>251.033884</v>
      </c>
      <c r="M672">
        <f t="shared" si="69"/>
        <v>264.08267499999999</v>
      </c>
      <c r="N672">
        <v>5360</v>
      </c>
      <c r="O672">
        <f t="shared" ca="1" si="70"/>
        <v>0.95058823529411762</v>
      </c>
    </row>
    <row r="673" spans="1:15" x14ac:dyDescent="0.2">
      <c r="A673" t="str">
        <f ca="1">IFERROR(__xludf.DUMMYFUNCTION("""COMPUTED_VALUE"""),"km")</f>
        <v>km</v>
      </c>
      <c r="B673" t="str">
        <f ca="1">IFERROR(__xludf.DUMMYFUNCTION("""COMPUTED_VALUE"""),"Model S 85D")</f>
        <v>Model S 85D</v>
      </c>
      <c r="D673">
        <f ca="1">IFERROR(__xludf.DUMMYFUNCTION("""COMPUTED_VALUE"""),6204)</f>
        <v>6204</v>
      </c>
      <c r="E673">
        <f ca="1">IFERROR(__xludf.DUMMYFUNCTION("""COMPUTED_VALUE"""),404)</f>
        <v>404</v>
      </c>
      <c r="F673">
        <v>425</v>
      </c>
      <c r="G673">
        <v>0.95058823529411762</v>
      </c>
      <c r="H673">
        <v>3855</v>
      </c>
      <c r="I673">
        <v>6204</v>
      </c>
      <c r="J673">
        <v>3855</v>
      </c>
      <c r="K673">
        <v>0.99578291228421367</v>
      </c>
      <c r="L673">
        <f t="shared" ca="1" si="68"/>
        <v>251.033884</v>
      </c>
      <c r="M673">
        <f t="shared" si="69"/>
        <v>264.08267499999999</v>
      </c>
      <c r="N673">
        <v>3855</v>
      </c>
      <c r="O673">
        <f t="shared" ca="1" si="70"/>
        <v>0.95058823529411762</v>
      </c>
    </row>
    <row r="674" spans="1:15" x14ac:dyDescent="0.2">
      <c r="A674" t="str">
        <f ca="1">IFERROR(__xludf.DUMMYFUNCTION("""COMPUTED_VALUE"""),"km")</f>
        <v>km</v>
      </c>
      <c r="B674" t="str">
        <f ca="1">IFERROR(__xludf.DUMMYFUNCTION("""COMPUTED_VALUE"""),"Model S 90D")</f>
        <v>Model S 90D</v>
      </c>
      <c r="C674">
        <f ca="1">IFERROR(__xludf.DUMMYFUNCTION("""COMPUTED_VALUE"""),459)</f>
        <v>459</v>
      </c>
      <c r="D674">
        <f ca="1">IFERROR(__xludf.DUMMYFUNCTION("""COMPUTED_VALUE"""),99390)</f>
        <v>99390</v>
      </c>
      <c r="E674">
        <f ca="1">IFERROR(__xludf.DUMMYFUNCTION("""COMPUTED_VALUE"""),425)</f>
        <v>425</v>
      </c>
      <c r="F674">
        <v>447</v>
      </c>
      <c r="G674">
        <v>0.95078299776286357</v>
      </c>
      <c r="H674">
        <v>61758</v>
      </c>
      <c r="I674">
        <v>99390</v>
      </c>
      <c r="J674">
        <v>61758</v>
      </c>
      <c r="K674">
        <v>0.94106878370244473</v>
      </c>
      <c r="L674">
        <f t="shared" ca="1" si="68"/>
        <v>264.08267499999999</v>
      </c>
      <c r="M674">
        <f t="shared" si="69"/>
        <v>277.752837</v>
      </c>
      <c r="N674">
        <v>61758</v>
      </c>
      <c r="O674">
        <f t="shared" ca="1" si="70"/>
        <v>0.95078299776286357</v>
      </c>
    </row>
    <row r="675" spans="1:15" x14ac:dyDescent="0.2">
      <c r="A675" t="str">
        <f ca="1">IFERROR(__xludf.DUMMYFUNCTION("""COMPUTED_VALUE"""),"km")</f>
        <v>km</v>
      </c>
      <c r="B675" t="str">
        <f ca="1">IFERROR(__xludf.DUMMYFUNCTION("""COMPUTED_VALUE"""),"Model S 90D")</f>
        <v>Model S 90D</v>
      </c>
      <c r="D675">
        <f ca="1">IFERROR(__xludf.DUMMYFUNCTION("""COMPUTED_VALUE"""),45389)</f>
        <v>45389</v>
      </c>
      <c r="E675">
        <f ca="1">IFERROR(__xludf.DUMMYFUNCTION("""COMPUTED_VALUE"""),425)</f>
        <v>425</v>
      </c>
      <c r="F675">
        <v>447</v>
      </c>
      <c r="G675">
        <v>0.95078299776286357</v>
      </c>
      <c r="H675">
        <v>28203</v>
      </c>
      <c r="I675">
        <v>45389</v>
      </c>
      <c r="J675">
        <v>28203</v>
      </c>
      <c r="K675">
        <v>0.97077030226892602</v>
      </c>
      <c r="L675">
        <f t="shared" ca="1" si="68"/>
        <v>264.08267499999999</v>
      </c>
      <c r="M675">
        <f t="shared" si="69"/>
        <v>277.752837</v>
      </c>
      <c r="N675">
        <v>28203</v>
      </c>
      <c r="O675">
        <f t="shared" ca="1" si="70"/>
        <v>0.95078299776286357</v>
      </c>
    </row>
    <row r="676" spans="1:15" x14ac:dyDescent="0.2">
      <c r="A676" t="str">
        <f ca="1">IFERROR(__xludf.DUMMYFUNCTION("""COMPUTED_VALUE"""),"km")</f>
        <v>km</v>
      </c>
      <c r="B676" t="str">
        <f ca="1">IFERROR(__xludf.DUMMYFUNCTION("""COMPUTED_VALUE"""),"Model S 90D")</f>
        <v>Model S 90D</v>
      </c>
      <c r="C676">
        <f ca="1">IFERROR(__xludf.DUMMYFUNCTION("""COMPUTED_VALUE"""),432)</f>
        <v>432</v>
      </c>
      <c r="D676">
        <f ca="1">IFERROR(__xludf.DUMMYFUNCTION("""COMPUTED_VALUE"""),55201)</f>
        <v>55201</v>
      </c>
      <c r="E676">
        <f ca="1">IFERROR(__xludf.DUMMYFUNCTION("""COMPUTED_VALUE"""),425)</f>
        <v>425</v>
      </c>
      <c r="F676">
        <v>447</v>
      </c>
      <c r="G676">
        <v>0.95078299776286357</v>
      </c>
      <c r="H676">
        <v>34300</v>
      </c>
      <c r="I676">
        <v>55201</v>
      </c>
      <c r="J676">
        <v>34300</v>
      </c>
      <c r="K676">
        <v>0.96495503498789115</v>
      </c>
      <c r="L676">
        <f t="shared" ca="1" si="68"/>
        <v>264.08267499999999</v>
      </c>
      <c r="M676">
        <f t="shared" si="69"/>
        <v>277.752837</v>
      </c>
      <c r="N676">
        <v>34300</v>
      </c>
      <c r="O676">
        <f t="shared" ca="1" si="70"/>
        <v>0.95078299776286357</v>
      </c>
    </row>
    <row r="677" spans="1:15" x14ac:dyDescent="0.2">
      <c r="A677" t="str">
        <f ca="1">IFERROR(__xludf.DUMMYFUNCTION("""COMPUTED_VALUE"""),"km")</f>
        <v>km</v>
      </c>
      <c r="B677" t="str">
        <f ca="1">IFERROR(__xludf.DUMMYFUNCTION("""COMPUTED_VALUE"""),"Model S 90D")</f>
        <v>Model S 90D</v>
      </c>
      <c r="D677">
        <f ca="1">IFERROR(__xludf.DUMMYFUNCTION("""COMPUTED_VALUE"""),47860)</f>
        <v>47860</v>
      </c>
      <c r="E677">
        <f ca="1">IFERROR(__xludf.DUMMYFUNCTION("""COMPUTED_VALUE"""),425)</f>
        <v>425</v>
      </c>
      <c r="F677">
        <v>447</v>
      </c>
      <c r="G677">
        <v>0.95078299776286357</v>
      </c>
      <c r="H677">
        <v>29739</v>
      </c>
      <c r="I677">
        <v>47860</v>
      </c>
      <c r="J677">
        <v>29739</v>
      </c>
      <c r="K677">
        <v>0.96928864876651322</v>
      </c>
      <c r="L677">
        <f t="shared" ca="1" si="68"/>
        <v>264.08267499999999</v>
      </c>
      <c r="M677">
        <f t="shared" si="69"/>
        <v>277.752837</v>
      </c>
      <c r="N677">
        <v>29739</v>
      </c>
      <c r="O677">
        <f t="shared" ca="1" si="70"/>
        <v>0.95078299776286357</v>
      </c>
    </row>
    <row r="678" spans="1:15" x14ac:dyDescent="0.2">
      <c r="A678" t="str">
        <f ca="1">IFERROR(__xludf.DUMMYFUNCTION("""COMPUTED_VALUE"""),"km")</f>
        <v>km</v>
      </c>
      <c r="B678" t="str">
        <f ca="1">IFERROR(__xludf.DUMMYFUNCTION("""COMPUTED_VALUE"""),"Model X 100D")</f>
        <v>Model X 100D</v>
      </c>
      <c r="C678">
        <f ca="1">IFERROR(__xludf.DUMMYFUNCTION("""COMPUTED_VALUE"""),450)</f>
        <v>450</v>
      </c>
      <c r="D678">
        <f ca="1">IFERROR(__xludf.DUMMYFUNCTION("""COMPUTED_VALUE"""),16577)</f>
        <v>16577</v>
      </c>
      <c r="E678">
        <f ca="1">IFERROR(__xludf.DUMMYFUNCTION("""COMPUTED_VALUE"""),426)</f>
        <v>426</v>
      </c>
      <c r="F678">
        <v>448</v>
      </c>
      <c r="G678">
        <v>0.9508928571428571</v>
      </c>
      <c r="H678">
        <v>10300</v>
      </c>
      <c r="I678">
        <v>16577</v>
      </c>
      <c r="J678">
        <v>10300</v>
      </c>
      <c r="K678">
        <v>0.98888719220844412</v>
      </c>
      <c r="L678">
        <f t="shared" ca="1" si="68"/>
        <v>264.70404600000001</v>
      </c>
      <c r="M678">
        <f t="shared" si="69"/>
        <v>278.37420800000001</v>
      </c>
      <c r="N678">
        <v>10300</v>
      </c>
      <c r="O678">
        <f t="shared" ca="1" si="70"/>
        <v>0.9508928571428571</v>
      </c>
    </row>
    <row r="679" spans="1:15" x14ac:dyDescent="0.2">
      <c r="A679" t="str">
        <f ca="1">IFERROR(__xludf.DUMMYFUNCTION("""COMPUTED_VALUE"""),"mi")</f>
        <v>mi</v>
      </c>
      <c r="B679" t="str">
        <f ca="1">IFERROR(__xludf.DUMMYFUNCTION("""COMPUTED_VALUE"""),"Model S 85")</f>
        <v>Model S 85</v>
      </c>
      <c r="C679">
        <f ca="1">IFERROR(__xludf.DUMMYFUNCTION("""COMPUTED_VALUE"""),270)</f>
        <v>270</v>
      </c>
      <c r="D679">
        <f ca="1">IFERROR(__xludf.DUMMYFUNCTION("""COMPUTED_VALUE"""),59487)</f>
        <v>59487</v>
      </c>
      <c r="E679">
        <f ca="1">IFERROR(__xludf.DUMMYFUNCTION("""COMPUTED_VALUE"""),253)</f>
        <v>253</v>
      </c>
      <c r="F679">
        <v>266</v>
      </c>
      <c r="G679">
        <v>0.95112781954887216</v>
      </c>
      <c r="H679">
        <v>59487</v>
      </c>
      <c r="I679">
        <v>95735</v>
      </c>
      <c r="J679">
        <v>59487</v>
      </c>
      <c r="K679">
        <v>0.94289874235948756</v>
      </c>
      <c r="L679">
        <f ca="1">IFERROR(__xludf.DUMMYFUNCTION("""COMPUTED_VALUE"""),253)</f>
        <v>253</v>
      </c>
      <c r="M679">
        <v>266</v>
      </c>
      <c r="N679">
        <v>59487</v>
      </c>
      <c r="O679">
        <f t="shared" ca="1" si="70"/>
        <v>0.95112781954887216</v>
      </c>
    </row>
    <row r="680" spans="1:15" x14ac:dyDescent="0.2">
      <c r="A680" t="str">
        <f ca="1">IFERROR(__xludf.DUMMYFUNCTION("""COMPUTED_VALUE"""),"mi")</f>
        <v>mi</v>
      </c>
      <c r="B680" t="str">
        <f ca="1">IFERROR(__xludf.DUMMYFUNCTION("""COMPUTED_VALUE"""),"Model S P85")</f>
        <v>Model S P85</v>
      </c>
      <c r="D680">
        <f ca="1">IFERROR(__xludf.DUMMYFUNCTION("""COMPUTED_VALUE"""),47871)</f>
        <v>47871</v>
      </c>
      <c r="E680">
        <f ca="1">IFERROR(__xludf.DUMMYFUNCTION("""COMPUTED_VALUE"""),253)</f>
        <v>253</v>
      </c>
      <c r="F680">
        <v>266</v>
      </c>
      <c r="G680">
        <v>0.95112781954887216</v>
      </c>
      <c r="H680">
        <v>47871</v>
      </c>
      <c r="I680">
        <v>77041</v>
      </c>
      <c r="J680">
        <v>47871</v>
      </c>
      <c r="K680">
        <v>0.95267270558895512</v>
      </c>
      <c r="L680">
        <f ca="1">IFERROR(__xludf.DUMMYFUNCTION("""COMPUTED_VALUE"""),253)</f>
        <v>253</v>
      </c>
      <c r="M680">
        <v>266</v>
      </c>
      <c r="N680">
        <v>47871</v>
      </c>
      <c r="O680">
        <f t="shared" ca="1" si="70"/>
        <v>0.95112781954887216</v>
      </c>
    </row>
    <row r="681" spans="1:15" x14ac:dyDescent="0.2">
      <c r="A681" t="str">
        <f ca="1">IFERROR(__xludf.DUMMYFUNCTION("""COMPUTED_VALUE"""),"mi")</f>
        <v>mi</v>
      </c>
      <c r="B681" t="str">
        <f ca="1">IFERROR(__xludf.DUMMYFUNCTION("""COMPUTED_VALUE"""),"Model S 85")</f>
        <v>Model S 85</v>
      </c>
      <c r="C681">
        <f ca="1">IFERROR(__xludf.DUMMYFUNCTION("""COMPUTED_VALUE"""),270)</f>
        <v>270</v>
      </c>
      <c r="D681">
        <f ca="1">IFERROR(__xludf.DUMMYFUNCTION("""COMPUTED_VALUE"""),58983)</f>
        <v>58983</v>
      </c>
      <c r="E681">
        <f ca="1">IFERROR(__xludf.DUMMYFUNCTION("""COMPUTED_VALUE"""),253)</f>
        <v>253</v>
      </c>
      <c r="F681">
        <v>266</v>
      </c>
      <c r="G681">
        <v>0.95112781954887216</v>
      </c>
      <c r="H681">
        <v>58983</v>
      </c>
      <c r="I681">
        <v>94924</v>
      </c>
      <c r="J681">
        <v>58983</v>
      </c>
      <c r="K681">
        <v>0.94330840466187538</v>
      </c>
      <c r="L681">
        <f ca="1">IFERROR(__xludf.DUMMYFUNCTION("""COMPUTED_VALUE"""),253)</f>
        <v>253</v>
      </c>
      <c r="M681">
        <v>266</v>
      </c>
      <c r="N681">
        <v>58983</v>
      </c>
      <c r="O681">
        <f t="shared" ca="1" si="70"/>
        <v>0.95112781954887216</v>
      </c>
    </row>
    <row r="682" spans="1:15" x14ac:dyDescent="0.2">
      <c r="A682" t="str">
        <f ca="1">IFERROR(__xludf.DUMMYFUNCTION("""COMPUTED_VALUE"""),"mi")</f>
        <v>mi</v>
      </c>
      <c r="B682" t="str">
        <f ca="1">IFERROR(__xludf.DUMMYFUNCTION("""COMPUTED_VALUE"""),"Model S 85")</f>
        <v>Model S 85</v>
      </c>
      <c r="C682">
        <f ca="1">IFERROR(__xludf.DUMMYFUNCTION("""COMPUTED_VALUE"""),270)</f>
        <v>270</v>
      </c>
      <c r="D682">
        <f ca="1">IFERROR(__xludf.DUMMYFUNCTION("""COMPUTED_VALUE"""),58329)</f>
        <v>58329</v>
      </c>
      <c r="E682">
        <f ca="1">IFERROR(__xludf.DUMMYFUNCTION("""COMPUTED_VALUE"""),253)</f>
        <v>253</v>
      </c>
      <c r="F682">
        <v>266</v>
      </c>
      <c r="G682">
        <v>0.95112781954887216</v>
      </c>
      <c r="H682">
        <v>58329</v>
      </c>
      <c r="I682">
        <v>93871</v>
      </c>
      <c r="J682">
        <v>58329</v>
      </c>
      <c r="K682">
        <v>0.94384226488299861</v>
      </c>
      <c r="L682">
        <f ca="1">IFERROR(__xludf.DUMMYFUNCTION("""COMPUTED_VALUE"""),253)</f>
        <v>253</v>
      </c>
      <c r="M682">
        <v>266</v>
      </c>
      <c r="N682">
        <v>58329</v>
      </c>
      <c r="O682">
        <f t="shared" ca="1" si="70"/>
        <v>0.95112781954887216</v>
      </c>
    </row>
    <row r="683" spans="1:15" x14ac:dyDescent="0.2">
      <c r="A683" t="str">
        <f ca="1">IFERROR(__xludf.DUMMYFUNCTION("""COMPUTED_VALUE"""),"mi")</f>
        <v>mi</v>
      </c>
      <c r="B683" t="str">
        <f ca="1">IFERROR(__xludf.DUMMYFUNCTION("""COMPUTED_VALUE"""),"Model S 85")</f>
        <v>Model S 85</v>
      </c>
      <c r="C683">
        <f ca="1">IFERROR(__xludf.DUMMYFUNCTION("""COMPUTED_VALUE"""),270)</f>
        <v>270</v>
      </c>
      <c r="D683">
        <f ca="1">IFERROR(__xludf.DUMMYFUNCTION("""COMPUTED_VALUE"""),57585)</f>
        <v>57585</v>
      </c>
      <c r="E683">
        <f ca="1">IFERROR(__xludf.DUMMYFUNCTION("""COMPUTED_VALUE"""),253)</f>
        <v>253</v>
      </c>
      <c r="F683">
        <v>266</v>
      </c>
      <c r="G683">
        <v>0.95112781954887216</v>
      </c>
      <c r="H683">
        <v>57585</v>
      </c>
      <c r="I683">
        <v>92674</v>
      </c>
      <c r="J683">
        <v>57585</v>
      </c>
      <c r="K683">
        <v>0.94445181231620345</v>
      </c>
      <c r="L683">
        <f ca="1">IFERROR(__xludf.DUMMYFUNCTION("""COMPUTED_VALUE"""),253)</f>
        <v>253</v>
      </c>
      <c r="M683">
        <v>266</v>
      </c>
      <c r="N683">
        <v>57585</v>
      </c>
      <c r="O683">
        <f t="shared" ca="1" si="70"/>
        <v>0.95112781954887216</v>
      </c>
    </row>
    <row r="684" spans="1:15" x14ac:dyDescent="0.2">
      <c r="A684" t="str">
        <f ca="1">IFERROR(__xludf.DUMMYFUNCTION("""COMPUTED_VALUE"""),"mi")</f>
        <v>mi</v>
      </c>
      <c r="B684" t="str">
        <f ca="1">IFERROR(__xludf.DUMMYFUNCTION("""COMPUTED_VALUE"""),"Model S 85")</f>
        <v>Model S 85</v>
      </c>
      <c r="C684">
        <f ca="1">IFERROR(__xludf.DUMMYFUNCTION("""COMPUTED_VALUE"""),270)</f>
        <v>270</v>
      </c>
      <c r="D684">
        <f ca="1">IFERROR(__xludf.DUMMYFUNCTION("""COMPUTED_VALUE"""),57133)</f>
        <v>57133</v>
      </c>
      <c r="E684">
        <f ca="1">IFERROR(__xludf.DUMMYFUNCTION("""COMPUTED_VALUE"""),253)</f>
        <v>253</v>
      </c>
      <c r="F684">
        <v>266</v>
      </c>
      <c r="G684">
        <v>0.95112781954887216</v>
      </c>
      <c r="H684">
        <v>57133</v>
      </c>
      <c r="I684">
        <v>91947</v>
      </c>
      <c r="J684">
        <v>57133</v>
      </c>
      <c r="K684">
        <v>0.94482341264890568</v>
      </c>
      <c r="L684">
        <f ca="1">IFERROR(__xludf.DUMMYFUNCTION("""COMPUTED_VALUE"""),253)</f>
        <v>253</v>
      </c>
      <c r="M684">
        <v>266</v>
      </c>
      <c r="N684">
        <v>57133</v>
      </c>
      <c r="O684">
        <f t="shared" ca="1" si="70"/>
        <v>0.95112781954887216</v>
      </c>
    </row>
    <row r="685" spans="1:15" x14ac:dyDescent="0.2">
      <c r="A685" t="str">
        <f ca="1">IFERROR(__xludf.DUMMYFUNCTION("""COMPUTED_VALUE"""),"mi")</f>
        <v>mi</v>
      </c>
      <c r="B685" t="str">
        <f ca="1">IFERROR(__xludf.DUMMYFUNCTION("""COMPUTED_VALUE"""),"Model S 85")</f>
        <v>Model S 85</v>
      </c>
      <c r="C685">
        <f ca="1">IFERROR(__xludf.DUMMYFUNCTION("""COMPUTED_VALUE"""),270)</f>
        <v>270</v>
      </c>
      <c r="D685">
        <f ca="1">IFERROR(__xludf.DUMMYFUNCTION("""COMPUTED_VALUE"""),49639)</f>
        <v>49639</v>
      </c>
      <c r="E685">
        <f ca="1">IFERROR(__xludf.DUMMYFUNCTION("""COMPUTED_VALUE"""),253)</f>
        <v>253</v>
      </c>
      <c r="F685">
        <v>266</v>
      </c>
      <c r="G685">
        <v>0.95112781954887216</v>
      </c>
      <c r="H685">
        <v>49639</v>
      </c>
      <c r="I685">
        <v>79886</v>
      </c>
      <c r="J685">
        <v>49639</v>
      </c>
      <c r="K685">
        <v>0.95114083304443575</v>
      </c>
      <c r="L685">
        <f ca="1">IFERROR(__xludf.DUMMYFUNCTION("""COMPUTED_VALUE"""),253)</f>
        <v>253</v>
      </c>
      <c r="M685">
        <v>266</v>
      </c>
      <c r="N685">
        <v>49639</v>
      </c>
      <c r="O685">
        <f t="shared" ca="1" si="70"/>
        <v>0.95112781954887216</v>
      </c>
    </row>
    <row r="686" spans="1:15" x14ac:dyDescent="0.2">
      <c r="A686" t="str">
        <f ca="1">IFERROR(__xludf.DUMMYFUNCTION("""COMPUTED_VALUE"""),"mi")</f>
        <v>mi</v>
      </c>
      <c r="B686" t="str">
        <f ca="1">IFERROR(__xludf.DUMMYFUNCTION("""COMPUTED_VALUE"""),"Model S 85")</f>
        <v>Model S 85</v>
      </c>
      <c r="C686">
        <f ca="1">IFERROR(__xludf.DUMMYFUNCTION("""COMPUTED_VALUE"""),270)</f>
        <v>270</v>
      </c>
      <c r="D686">
        <f ca="1">IFERROR(__xludf.DUMMYFUNCTION("""COMPUTED_VALUE"""),48053)</f>
        <v>48053</v>
      </c>
      <c r="E686">
        <f ca="1">IFERROR(__xludf.DUMMYFUNCTION("""COMPUTED_VALUE"""),253)</f>
        <v>253</v>
      </c>
      <c r="F686">
        <v>266</v>
      </c>
      <c r="G686">
        <v>0.95112781954887216</v>
      </c>
      <c r="H686">
        <v>48053</v>
      </c>
      <c r="I686">
        <v>77334</v>
      </c>
      <c r="J686">
        <v>48053</v>
      </c>
      <c r="K686">
        <v>0.95251421049280927</v>
      </c>
      <c r="L686">
        <f ca="1">IFERROR(__xludf.DUMMYFUNCTION("""COMPUTED_VALUE"""),253)</f>
        <v>253</v>
      </c>
      <c r="M686">
        <v>266</v>
      </c>
      <c r="N686">
        <v>48053</v>
      </c>
      <c r="O686">
        <f t="shared" ca="1" si="70"/>
        <v>0.95112781954887216</v>
      </c>
    </row>
    <row r="687" spans="1:15" x14ac:dyDescent="0.2">
      <c r="A687" t="str">
        <f ca="1">IFERROR(__xludf.DUMMYFUNCTION("""COMPUTED_VALUE"""),"mi")</f>
        <v>mi</v>
      </c>
      <c r="B687" t="str">
        <f ca="1">IFERROR(__xludf.DUMMYFUNCTION("""COMPUTED_VALUE"""),"Model S 85")</f>
        <v>Model S 85</v>
      </c>
      <c r="C687">
        <f ca="1">IFERROR(__xludf.DUMMYFUNCTION("""COMPUTED_VALUE"""),271)</f>
        <v>271</v>
      </c>
      <c r="D687">
        <f ca="1">IFERROR(__xludf.DUMMYFUNCTION("""COMPUTED_VALUE"""),81000)</f>
        <v>81000</v>
      </c>
      <c r="E687">
        <f ca="1">IFERROR(__xludf.DUMMYFUNCTION("""COMPUTED_VALUE"""),253)</f>
        <v>253</v>
      </c>
      <c r="F687">
        <v>266</v>
      </c>
      <c r="G687">
        <v>0.95112781954887216</v>
      </c>
      <c r="H687">
        <v>81000</v>
      </c>
      <c r="I687">
        <v>130357</v>
      </c>
      <c r="J687">
        <v>81000</v>
      </c>
      <c r="K687">
        <v>0.92664955639516222</v>
      </c>
      <c r="L687">
        <f ca="1">IFERROR(__xludf.DUMMYFUNCTION("""COMPUTED_VALUE"""),253)</f>
        <v>253</v>
      </c>
      <c r="M687">
        <v>266</v>
      </c>
      <c r="N687">
        <v>81000</v>
      </c>
      <c r="O687">
        <f t="shared" ca="1" si="70"/>
        <v>0.95112781954887216</v>
      </c>
    </row>
    <row r="688" spans="1:15" x14ac:dyDescent="0.2">
      <c r="A688" t="str">
        <f ca="1">IFERROR(__xludf.DUMMYFUNCTION("""COMPUTED_VALUE"""),"mi")</f>
        <v>mi</v>
      </c>
      <c r="B688" t="str">
        <f ca="1">IFERROR(__xludf.DUMMYFUNCTION("""COMPUTED_VALUE"""),"Model S 85")</f>
        <v>Model S 85</v>
      </c>
      <c r="C688">
        <f ca="1">IFERROR(__xludf.DUMMYFUNCTION("""COMPUTED_VALUE"""),271)</f>
        <v>271</v>
      </c>
      <c r="D688">
        <f ca="1">IFERROR(__xludf.DUMMYFUNCTION("""COMPUTED_VALUE"""),73500)</f>
        <v>73500</v>
      </c>
      <c r="E688">
        <f ca="1">IFERROR(__xludf.DUMMYFUNCTION("""COMPUTED_VALUE"""),253)</f>
        <v>253</v>
      </c>
      <c r="F688">
        <v>266</v>
      </c>
      <c r="G688">
        <v>0.95112781954887216</v>
      </c>
      <c r="H688">
        <v>73500</v>
      </c>
      <c r="I688">
        <v>118287</v>
      </c>
      <c r="J688">
        <v>73500</v>
      </c>
      <c r="K688">
        <v>0.93203691465612737</v>
      </c>
      <c r="L688">
        <f ca="1">IFERROR(__xludf.DUMMYFUNCTION("""COMPUTED_VALUE"""),253)</f>
        <v>253</v>
      </c>
      <c r="M688">
        <v>266</v>
      </c>
      <c r="N688">
        <v>73500</v>
      </c>
      <c r="O688">
        <f t="shared" ca="1" si="70"/>
        <v>0.95112781954887216</v>
      </c>
    </row>
    <row r="689" spans="1:15" x14ac:dyDescent="0.2">
      <c r="A689" t="str">
        <f ca="1">IFERROR(__xludf.DUMMYFUNCTION("""COMPUTED_VALUE"""),"mi")</f>
        <v>mi</v>
      </c>
      <c r="B689" t="str">
        <f ca="1">IFERROR(__xludf.DUMMYFUNCTION("""COMPUTED_VALUE"""),"Model S 85")</f>
        <v>Model S 85</v>
      </c>
      <c r="C689">
        <f ca="1">IFERROR(__xludf.DUMMYFUNCTION("""COMPUTED_VALUE"""),270)</f>
        <v>270</v>
      </c>
      <c r="D689">
        <f ca="1">IFERROR(__xludf.DUMMYFUNCTION("""COMPUTED_VALUE"""),44219)</f>
        <v>44219</v>
      </c>
      <c r="E689">
        <f ca="1">IFERROR(__xludf.DUMMYFUNCTION("""COMPUTED_VALUE"""),253)</f>
        <v>253</v>
      </c>
      <c r="F689">
        <v>266</v>
      </c>
      <c r="G689">
        <v>0.95112781954887216</v>
      </c>
      <c r="H689">
        <v>44219</v>
      </c>
      <c r="I689">
        <v>71164</v>
      </c>
      <c r="J689">
        <v>44219</v>
      </c>
      <c r="K689">
        <v>0.95588713954109195</v>
      </c>
      <c r="L689">
        <f ca="1">IFERROR(__xludf.DUMMYFUNCTION("""COMPUTED_VALUE"""),253)</f>
        <v>253</v>
      </c>
      <c r="M689">
        <v>266</v>
      </c>
      <c r="N689">
        <v>44219</v>
      </c>
      <c r="O689">
        <f t="shared" ca="1" si="70"/>
        <v>0.95112781954887216</v>
      </c>
    </row>
    <row r="690" spans="1:15" x14ac:dyDescent="0.2">
      <c r="A690" t="str">
        <f ca="1">IFERROR(__xludf.DUMMYFUNCTION("""COMPUTED_VALUE"""),"mi")</f>
        <v>mi</v>
      </c>
      <c r="B690" t="str">
        <f ca="1">IFERROR(__xludf.DUMMYFUNCTION("""COMPUTED_VALUE"""),"Model S 85")</f>
        <v>Model S 85</v>
      </c>
      <c r="C690">
        <f ca="1">IFERROR(__xludf.DUMMYFUNCTION("""COMPUTED_VALUE"""),270)</f>
        <v>270</v>
      </c>
      <c r="D690">
        <f ca="1">IFERROR(__xludf.DUMMYFUNCTION("""COMPUTED_VALUE"""),43603)</f>
        <v>43603</v>
      </c>
      <c r="E690">
        <f ca="1">IFERROR(__xludf.DUMMYFUNCTION("""COMPUTED_VALUE"""),253)</f>
        <v>253</v>
      </c>
      <c r="F690">
        <v>266</v>
      </c>
      <c r="G690">
        <v>0.95112781954887216</v>
      </c>
      <c r="H690">
        <v>43603</v>
      </c>
      <c r="I690">
        <v>70172</v>
      </c>
      <c r="J690">
        <v>43603</v>
      </c>
      <c r="K690">
        <v>0.95643633767598124</v>
      </c>
      <c r="L690">
        <f ca="1">IFERROR(__xludf.DUMMYFUNCTION("""COMPUTED_VALUE"""),253)</f>
        <v>253</v>
      </c>
      <c r="M690">
        <v>266</v>
      </c>
      <c r="N690">
        <v>43603</v>
      </c>
      <c r="O690">
        <f t="shared" ca="1" si="70"/>
        <v>0.95112781954887216</v>
      </c>
    </row>
    <row r="691" spans="1:15" x14ac:dyDescent="0.2">
      <c r="A691" t="str">
        <f ca="1">IFERROR(__xludf.DUMMYFUNCTION("""COMPUTED_VALUE"""),"mi")</f>
        <v>mi</v>
      </c>
      <c r="B691" t="str">
        <f ca="1">IFERROR(__xludf.DUMMYFUNCTION("""COMPUTED_VALUE"""),"Model S 85")</f>
        <v>Model S 85</v>
      </c>
      <c r="C691">
        <f ca="1">IFERROR(__xludf.DUMMYFUNCTION("""COMPUTED_VALUE"""),270)</f>
        <v>270</v>
      </c>
      <c r="D691">
        <f ca="1">IFERROR(__xludf.DUMMYFUNCTION("""COMPUTED_VALUE"""),39940)</f>
        <v>39940</v>
      </c>
      <c r="E691">
        <f ca="1">IFERROR(__xludf.DUMMYFUNCTION("""COMPUTED_VALUE"""),253)</f>
        <v>253</v>
      </c>
      <c r="F691">
        <v>266</v>
      </c>
      <c r="G691">
        <v>0.95112781954887216</v>
      </c>
      <c r="H691">
        <v>39940</v>
      </c>
      <c r="I691">
        <v>64277</v>
      </c>
      <c r="J691">
        <v>39940</v>
      </c>
      <c r="K691">
        <v>0.95973923571231956</v>
      </c>
      <c r="L691">
        <f ca="1">IFERROR(__xludf.DUMMYFUNCTION("""COMPUTED_VALUE"""),253)</f>
        <v>253</v>
      </c>
      <c r="M691">
        <v>266</v>
      </c>
      <c r="N691">
        <v>39940</v>
      </c>
      <c r="O691">
        <f t="shared" ca="1" si="70"/>
        <v>0.95112781954887216</v>
      </c>
    </row>
    <row r="692" spans="1:15" x14ac:dyDescent="0.2">
      <c r="A692" t="str">
        <f ca="1">IFERROR(__xludf.DUMMYFUNCTION("""COMPUTED_VALUE"""),"mi")</f>
        <v>mi</v>
      </c>
      <c r="B692" t="str">
        <f ca="1">IFERROR(__xludf.DUMMYFUNCTION("""COMPUTED_VALUE"""),"Model S 85")</f>
        <v>Model S 85</v>
      </c>
      <c r="C692">
        <f ca="1">IFERROR(__xludf.DUMMYFUNCTION("""COMPUTED_VALUE"""),271)</f>
        <v>271</v>
      </c>
      <c r="D692">
        <f ca="1">IFERROR(__xludf.DUMMYFUNCTION("""COMPUTED_VALUE"""),55200)</f>
        <v>55200</v>
      </c>
      <c r="E692">
        <f ca="1">IFERROR(__xludf.DUMMYFUNCTION("""COMPUTED_VALUE"""),253)</f>
        <v>253</v>
      </c>
      <c r="F692">
        <v>266</v>
      </c>
      <c r="G692">
        <v>0.95112781954887216</v>
      </c>
      <c r="H692">
        <v>55200</v>
      </c>
      <c r="I692">
        <v>88836</v>
      </c>
      <c r="J692">
        <v>55200</v>
      </c>
      <c r="K692">
        <v>0.94642542417555919</v>
      </c>
      <c r="L692">
        <f ca="1">IFERROR(__xludf.DUMMYFUNCTION("""COMPUTED_VALUE"""),253)</f>
        <v>253</v>
      </c>
      <c r="M692">
        <v>266</v>
      </c>
      <c r="N692">
        <v>55200</v>
      </c>
      <c r="O692">
        <f t="shared" ca="1" si="70"/>
        <v>0.95112781954887216</v>
      </c>
    </row>
    <row r="693" spans="1:15" x14ac:dyDescent="0.2">
      <c r="A693" t="str">
        <f ca="1">IFERROR(__xludf.DUMMYFUNCTION("""COMPUTED_VALUE"""),"mi")</f>
        <v>mi</v>
      </c>
      <c r="B693" t="str">
        <f ca="1">IFERROR(__xludf.DUMMYFUNCTION("""COMPUTED_VALUE"""),"Model S 85")</f>
        <v>Model S 85</v>
      </c>
      <c r="C693">
        <f ca="1">IFERROR(__xludf.DUMMYFUNCTION("""COMPUTED_VALUE"""),270)</f>
        <v>270</v>
      </c>
      <c r="D693">
        <f ca="1">IFERROR(__xludf.DUMMYFUNCTION("""COMPUTED_VALUE"""),36771)</f>
        <v>36771</v>
      </c>
      <c r="E693">
        <f ca="1">IFERROR(__xludf.DUMMYFUNCTION("""COMPUTED_VALUE"""),253)</f>
        <v>253</v>
      </c>
      <c r="F693">
        <v>266</v>
      </c>
      <c r="G693">
        <v>0.95112781954887216</v>
      </c>
      <c r="H693">
        <v>36771</v>
      </c>
      <c r="I693">
        <v>59177</v>
      </c>
      <c r="J693">
        <v>36771</v>
      </c>
      <c r="K693">
        <v>0.96265069291175975</v>
      </c>
      <c r="L693">
        <f ca="1">IFERROR(__xludf.DUMMYFUNCTION("""COMPUTED_VALUE"""),253)</f>
        <v>253</v>
      </c>
      <c r="M693">
        <v>266</v>
      </c>
      <c r="N693">
        <v>36771</v>
      </c>
      <c r="O693">
        <f t="shared" ca="1" si="70"/>
        <v>0.95112781954887216</v>
      </c>
    </row>
    <row r="694" spans="1:15" x14ac:dyDescent="0.2">
      <c r="A694" t="str">
        <f ca="1">IFERROR(__xludf.DUMMYFUNCTION("""COMPUTED_VALUE"""),"mi")</f>
        <v>mi</v>
      </c>
      <c r="B694" t="str">
        <f ca="1">IFERROR(__xludf.DUMMYFUNCTION("""COMPUTED_VALUE"""),"Model S 85")</f>
        <v>Model S 85</v>
      </c>
      <c r="C694">
        <f ca="1">IFERROR(__xludf.DUMMYFUNCTION("""COMPUTED_VALUE"""),271)</f>
        <v>271</v>
      </c>
      <c r="D694">
        <f ca="1">IFERROR(__xludf.DUMMYFUNCTION("""COMPUTED_VALUE"""),49700)</f>
        <v>49700</v>
      </c>
      <c r="E694">
        <f ca="1">IFERROR(__xludf.DUMMYFUNCTION("""COMPUTED_VALUE"""),253)</f>
        <v>253</v>
      </c>
      <c r="F694">
        <v>266</v>
      </c>
      <c r="G694">
        <v>0.95112781954887216</v>
      </c>
      <c r="H694">
        <v>49700</v>
      </c>
      <c r="I694">
        <v>79984</v>
      </c>
      <c r="J694">
        <v>49700</v>
      </c>
      <c r="K694">
        <v>0.95108834782276896</v>
      </c>
      <c r="L694">
        <f ca="1">IFERROR(__xludf.DUMMYFUNCTION("""COMPUTED_VALUE"""),253)</f>
        <v>253</v>
      </c>
      <c r="M694">
        <v>266</v>
      </c>
      <c r="N694">
        <v>49700</v>
      </c>
      <c r="O694">
        <f t="shared" ca="1" si="70"/>
        <v>0.95112781954887216</v>
      </c>
    </row>
    <row r="695" spans="1:15" x14ac:dyDescent="0.2">
      <c r="A695" t="str">
        <f ca="1">IFERROR(__xludf.DUMMYFUNCTION("""COMPUTED_VALUE"""),"mi")</f>
        <v>mi</v>
      </c>
      <c r="B695" t="str">
        <f ca="1">IFERROR(__xludf.DUMMYFUNCTION("""COMPUTED_VALUE"""),"Model 3 P")</f>
        <v>Model 3 P</v>
      </c>
      <c r="C695">
        <f ca="1">IFERROR(__xludf.DUMMYFUNCTION("""COMPUTED_VALUE"""),308)</f>
        <v>308</v>
      </c>
      <c r="D695">
        <f ca="1">IFERROR(__xludf.DUMMYFUNCTION("""COMPUTED_VALUE"""),19000)</f>
        <v>19000</v>
      </c>
      <c r="E695">
        <f ca="1">IFERROR(__xludf.DUMMYFUNCTION("""COMPUTED_VALUE"""),295)</f>
        <v>295</v>
      </c>
      <c r="F695">
        <v>310</v>
      </c>
      <c r="G695">
        <v>0.95161290322580649</v>
      </c>
      <c r="H695">
        <v>19000</v>
      </c>
      <c r="I695">
        <v>30578</v>
      </c>
      <c r="J695">
        <v>19000</v>
      </c>
      <c r="K695">
        <v>0.9798912461778837</v>
      </c>
      <c r="L695">
        <f ca="1">IFERROR(__xludf.DUMMYFUNCTION("""COMPUTED_VALUE"""),295)</f>
        <v>295</v>
      </c>
      <c r="M695">
        <v>310</v>
      </c>
      <c r="N695">
        <v>19000</v>
      </c>
      <c r="O695">
        <f t="shared" ca="1" si="70"/>
        <v>0.95161290322580649</v>
      </c>
    </row>
    <row r="696" spans="1:15" x14ac:dyDescent="0.2">
      <c r="A696" t="str">
        <f ca="1">IFERROR(__xludf.DUMMYFUNCTION("""COMPUTED_VALUE"""),"mi")</f>
        <v>mi</v>
      </c>
      <c r="B696" t="str">
        <f ca="1">IFERROR(__xludf.DUMMYFUNCTION("""COMPUTED_VALUE"""),"Model S 60")</f>
        <v>Model S 60</v>
      </c>
      <c r="C696">
        <f ca="1">IFERROR(__xludf.DUMMYFUNCTION("""COMPUTED_VALUE"""),209)</f>
        <v>209</v>
      </c>
      <c r="D696">
        <f ca="1">IFERROR(__xludf.DUMMYFUNCTION("""COMPUTED_VALUE"""),28000)</f>
        <v>28000</v>
      </c>
      <c r="E696">
        <f ca="1">IFERROR(__xludf.DUMMYFUNCTION("""COMPUTED_VALUE"""),197)</f>
        <v>197</v>
      </c>
      <c r="F696">
        <v>207</v>
      </c>
      <c r="G696">
        <v>0.95169082125603865</v>
      </c>
      <c r="H696">
        <v>28000</v>
      </c>
      <c r="I696">
        <v>45062</v>
      </c>
      <c r="J696">
        <v>28000</v>
      </c>
      <c r="K696">
        <v>0.97096723966666032</v>
      </c>
      <c r="L696">
        <f ca="1">IFERROR(__xludf.DUMMYFUNCTION("""COMPUTED_VALUE"""),197)</f>
        <v>197</v>
      </c>
      <c r="M696">
        <v>207</v>
      </c>
      <c r="N696">
        <v>28000</v>
      </c>
      <c r="O696">
        <f t="shared" ca="1" si="70"/>
        <v>0.95169082125603865</v>
      </c>
    </row>
    <row r="697" spans="1:15" x14ac:dyDescent="0.2">
      <c r="A697" t="str">
        <f ca="1">IFERROR(__xludf.DUMMYFUNCTION("""COMPUTED_VALUE"""),"km")</f>
        <v>km</v>
      </c>
      <c r="B697" t="str">
        <f ca="1">IFERROR(__xludf.DUMMYFUNCTION("""COMPUTED_VALUE"""),"Model S 85")</f>
        <v>Model S 85</v>
      </c>
      <c r="C697">
        <f ca="1">IFERROR(__xludf.DUMMYFUNCTION("""COMPUTED_VALUE"""),388)</f>
        <v>388</v>
      </c>
      <c r="D697">
        <f ca="1">IFERROR(__xludf.DUMMYFUNCTION("""COMPUTED_VALUE"""),112358)</f>
        <v>112358</v>
      </c>
      <c r="E697">
        <f ca="1">IFERROR(__xludf.DUMMYFUNCTION("""COMPUTED_VALUE"""),376)</f>
        <v>376</v>
      </c>
      <c r="F697">
        <v>395</v>
      </c>
      <c r="G697">
        <v>0.95189873417721516</v>
      </c>
      <c r="H697">
        <v>69816</v>
      </c>
      <c r="I697">
        <v>112358</v>
      </c>
      <c r="J697">
        <v>69816</v>
      </c>
      <c r="K697">
        <v>0.93479274630313192</v>
      </c>
      <c r="L697">
        <f t="shared" ref="L697:L733" ca="1" si="71">E697*0.621371</f>
        <v>233.63549599999999</v>
      </c>
      <c r="M697">
        <f t="shared" ref="M697:M733" si="72">F697*0.621371</f>
        <v>245.44154499999999</v>
      </c>
      <c r="N697">
        <v>69816</v>
      </c>
      <c r="O697">
        <f t="shared" ca="1" si="70"/>
        <v>0.95189873417721516</v>
      </c>
    </row>
    <row r="698" spans="1:15" x14ac:dyDescent="0.2">
      <c r="A698" t="str">
        <f ca="1">IFERROR(__xludf.DUMMYFUNCTION("""COMPUTED_VALUE"""),"km")</f>
        <v>km</v>
      </c>
      <c r="B698" t="str">
        <f ca="1">IFERROR(__xludf.DUMMYFUNCTION("""COMPUTED_VALUE"""),"Model S P85")</f>
        <v>Model S P85</v>
      </c>
      <c r="C698">
        <f ca="1">IFERROR(__xludf.DUMMYFUNCTION("""COMPUTED_VALUE"""),392)</f>
        <v>392</v>
      </c>
      <c r="D698">
        <f ca="1">IFERROR(__xludf.DUMMYFUNCTION("""COMPUTED_VALUE"""),130075)</f>
        <v>130075</v>
      </c>
      <c r="E698">
        <f ca="1">IFERROR(__xludf.DUMMYFUNCTION("""COMPUTED_VALUE"""),376)</f>
        <v>376</v>
      </c>
      <c r="F698">
        <v>395</v>
      </c>
      <c r="G698">
        <v>0.95189873417721516</v>
      </c>
      <c r="H698">
        <v>80825</v>
      </c>
      <c r="I698">
        <v>130075</v>
      </c>
      <c r="J698">
        <v>80825</v>
      </c>
      <c r="K698">
        <v>0.92677199231340446</v>
      </c>
      <c r="L698">
        <f t="shared" ca="1" si="71"/>
        <v>233.63549599999999</v>
      </c>
      <c r="M698">
        <f t="shared" si="72"/>
        <v>245.44154499999999</v>
      </c>
      <c r="N698">
        <v>80825</v>
      </c>
      <c r="O698">
        <f t="shared" ca="1" si="70"/>
        <v>0.95189873417721516</v>
      </c>
    </row>
    <row r="699" spans="1:15" x14ac:dyDescent="0.2">
      <c r="A699" t="str">
        <f ca="1">IFERROR(__xludf.DUMMYFUNCTION("""COMPUTED_VALUE"""),"km")</f>
        <v>km</v>
      </c>
      <c r="B699" t="str">
        <f ca="1">IFERROR(__xludf.DUMMYFUNCTION("""COMPUTED_VALUE"""),"Model S 85")</f>
        <v>Model S 85</v>
      </c>
      <c r="C699">
        <f ca="1">IFERROR(__xludf.DUMMYFUNCTION("""COMPUTED_VALUE"""),399)</f>
        <v>399</v>
      </c>
      <c r="D699">
        <f ca="1">IFERROR(__xludf.DUMMYFUNCTION("""COMPUTED_VALUE"""),152072)</f>
        <v>152072</v>
      </c>
      <c r="E699">
        <f ca="1">IFERROR(__xludf.DUMMYFUNCTION("""COMPUTED_VALUE"""),376)</f>
        <v>376</v>
      </c>
      <c r="F699">
        <v>395</v>
      </c>
      <c r="G699">
        <v>0.95189873417721516</v>
      </c>
      <c r="H699">
        <v>94493</v>
      </c>
      <c r="I699">
        <v>152072</v>
      </c>
      <c r="J699">
        <v>94493</v>
      </c>
      <c r="K699">
        <v>0.91772117254669183</v>
      </c>
      <c r="L699">
        <f t="shared" ca="1" si="71"/>
        <v>233.63549599999999</v>
      </c>
      <c r="M699">
        <f t="shared" si="72"/>
        <v>245.44154499999999</v>
      </c>
      <c r="N699">
        <v>94493</v>
      </c>
      <c r="O699">
        <f t="shared" ca="1" si="70"/>
        <v>0.95189873417721516</v>
      </c>
    </row>
    <row r="700" spans="1:15" x14ac:dyDescent="0.2">
      <c r="A700" t="str">
        <f ca="1">IFERROR(__xludf.DUMMYFUNCTION("""COMPUTED_VALUE"""),"km")</f>
        <v>km</v>
      </c>
      <c r="B700" t="str">
        <f ca="1">IFERROR(__xludf.DUMMYFUNCTION("""COMPUTED_VALUE"""),"Model S P85")</f>
        <v>Model S P85</v>
      </c>
      <c r="C700">
        <f ca="1">IFERROR(__xludf.DUMMYFUNCTION("""COMPUTED_VALUE"""),399)</f>
        <v>399</v>
      </c>
      <c r="D700">
        <f ca="1">IFERROR(__xludf.DUMMYFUNCTION("""COMPUTED_VALUE"""),187612)</f>
        <v>187612</v>
      </c>
      <c r="E700">
        <f ca="1">IFERROR(__xludf.DUMMYFUNCTION("""COMPUTED_VALUE"""),376)</f>
        <v>376</v>
      </c>
      <c r="F700">
        <v>395</v>
      </c>
      <c r="G700">
        <v>0.95189873417721516</v>
      </c>
      <c r="H700">
        <v>116577</v>
      </c>
      <c r="I700">
        <v>187612</v>
      </c>
      <c r="J700">
        <v>116577</v>
      </c>
      <c r="K700">
        <v>0.90528383794641343</v>
      </c>
      <c r="L700">
        <f t="shared" ca="1" si="71"/>
        <v>233.63549599999999</v>
      </c>
      <c r="M700">
        <f t="shared" si="72"/>
        <v>245.44154499999999</v>
      </c>
      <c r="N700">
        <v>116577</v>
      </c>
      <c r="O700">
        <f t="shared" ca="1" si="70"/>
        <v>0.95189873417721516</v>
      </c>
    </row>
    <row r="701" spans="1:15" x14ac:dyDescent="0.2">
      <c r="A701" t="str">
        <f ca="1">IFERROR(__xludf.DUMMYFUNCTION("""COMPUTED_VALUE"""),"km")</f>
        <v>km</v>
      </c>
      <c r="B701" t="str">
        <f ca="1">IFERROR(__xludf.DUMMYFUNCTION("""COMPUTED_VALUE"""),"Model S P85")</f>
        <v>Model S P85</v>
      </c>
      <c r="C701">
        <f ca="1">IFERROR(__xludf.DUMMYFUNCTION("""COMPUTED_VALUE"""),392)</f>
        <v>392</v>
      </c>
      <c r="D701">
        <f ca="1">IFERROR(__xludf.DUMMYFUNCTION("""COMPUTED_VALUE"""),100000)</f>
        <v>100000</v>
      </c>
      <c r="E701">
        <f ca="1">IFERROR(__xludf.DUMMYFUNCTION("""COMPUTED_VALUE"""),376)</f>
        <v>376</v>
      </c>
      <c r="F701">
        <v>395</v>
      </c>
      <c r="G701">
        <v>0.95189873417721516</v>
      </c>
      <c r="H701">
        <v>62137</v>
      </c>
      <c r="I701">
        <v>100000</v>
      </c>
      <c r="J701">
        <v>62137</v>
      </c>
      <c r="K701">
        <v>0.94076597629758174</v>
      </c>
      <c r="L701">
        <f t="shared" ca="1" si="71"/>
        <v>233.63549599999999</v>
      </c>
      <c r="M701">
        <f t="shared" si="72"/>
        <v>245.44154499999999</v>
      </c>
      <c r="N701">
        <v>62137</v>
      </c>
      <c r="O701">
        <f t="shared" ca="1" si="70"/>
        <v>0.95189873417721516</v>
      </c>
    </row>
    <row r="702" spans="1:15" x14ac:dyDescent="0.2">
      <c r="A702" t="str">
        <f ca="1">IFERROR(__xludf.DUMMYFUNCTION("""COMPUTED_VALUE"""),"km")</f>
        <v>km</v>
      </c>
      <c r="B702" t="str">
        <f ca="1">IFERROR(__xludf.DUMMYFUNCTION("""COMPUTED_VALUE"""),"Model S P85+")</f>
        <v>Model S P85+</v>
      </c>
      <c r="C702">
        <f ca="1">IFERROR(__xludf.DUMMYFUNCTION("""COMPUTED_VALUE"""),400)</f>
        <v>400</v>
      </c>
      <c r="D702">
        <f ca="1">IFERROR(__xludf.DUMMYFUNCTION("""COMPUTED_VALUE"""),130200)</f>
        <v>130200</v>
      </c>
      <c r="E702">
        <f ca="1">IFERROR(__xludf.DUMMYFUNCTION("""COMPUTED_VALUE"""),376)</f>
        <v>376</v>
      </c>
      <c r="F702">
        <v>395</v>
      </c>
      <c r="G702">
        <v>0.95189873417721516</v>
      </c>
      <c r="H702">
        <v>80903</v>
      </c>
      <c r="I702">
        <v>130200</v>
      </c>
      <c r="J702">
        <v>80903</v>
      </c>
      <c r="K702">
        <v>0.92671770071573323</v>
      </c>
      <c r="L702">
        <f t="shared" ca="1" si="71"/>
        <v>233.63549599999999</v>
      </c>
      <c r="M702">
        <f t="shared" si="72"/>
        <v>245.44154499999999</v>
      </c>
      <c r="N702">
        <v>80903</v>
      </c>
      <c r="O702">
        <f t="shared" ca="1" si="70"/>
        <v>0.95189873417721516</v>
      </c>
    </row>
    <row r="703" spans="1:15" x14ac:dyDescent="0.2">
      <c r="A703" t="str">
        <f ca="1">IFERROR(__xludf.DUMMYFUNCTION("""COMPUTED_VALUE"""),"km")</f>
        <v>km</v>
      </c>
      <c r="B703" t="str">
        <f ca="1">IFERROR(__xludf.DUMMYFUNCTION("""COMPUTED_VALUE"""),"Model S 85")</f>
        <v>Model S 85</v>
      </c>
      <c r="D703">
        <f ca="1">IFERROR(__xludf.DUMMYFUNCTION("""COMPUTED_VALUE"""),79700)</f>
        <v>79700</v>
      </c>
      <c r="E703">
        <f ca="1">IFERROR(__xludf.DUMMYFUNCTION("""COMPUTED_VALUE"""),376)</f>
        <v>376</v>
      </c>
      <c r="F703">
        <v>395</v>
      </c>
      <c r="G703">
        <v>0.95189873417721516</v>
      </c>
      <c r="H703">
        <v>49523</v>
      </c>
      <c r="I703">
        <v>79700</v>
      </c>
      <c r="J703">
        <v>49523</v>
      </c>
      <c r="K703">
        <v>0.95124049960336032</v>
      </c>
      <c r="L703">
        <f t="shared" ca="1" si="71"/>
        <v>233.63549599999999</v>
      </c>
      <c r="M703">
        <f t="shared" si="72"/>
        <v>245.44154499999999</v>
      </c>
      <c r="N703">
        <v>49523</v>
      </c>
      <c r="O703">
        <f t="shared" ca="1" si="70"/>
        <v>0.95189873417721516</v>
      </c>
    </row>
    <row r="704" spans="1:15" x14ac:dyDescent="0.2">
      <c r="A704" t="str">
        <f ca="1">IFERROR(__xludf.DUMMYFUNCTION("""COMPUTED_VALUE"""),"km")</f>
        <v>km</v>
      </c>
      <c r="B704" t="str">
        <f ca="1">IFERROR(__xludf.DUMMYFUNCTION("""COMPUTED_VALUE"""),"Model S 85")</f>
        <v>Model S 85</v>
      </c>
      <c r="D704">
        <f ca="1">IFERROR(__xludf.DUMMYFUNCTION("""COMPUTED_VALUE"""),78456)</f>
        <v>78456</v>
      </c>
      <c r="E704">
        <f ca="1">IFERROR(__xludf.DUMMYFUNCTION("""COMPUTED_VALUE"""),376)</f>
        <v>376</v>
      </c>
      <c r="F704">
        <v>395</v>
      </c>
      <c r="G704">
        <v>0.95189873417721516</v>
      </c>
      <c r="H704">
        <v>48750</v>
      </c>
      <c r="I704">
        <v>78456</v>
      </c>
      <c r="J704">
        <v>48750</v>
      </c>
      <c r="K704">
        <v>0.95190882845589864</v>
      </c>
      <c r="L704">
        <f t="shared" ca="1" si="71"/>
        <v>233.63549599999999</v>
      </c>
      <c r="M704">
        <f t="shared" si="72"/>
        <v>245.44154499999999</v>
      </c>
      <c r="N704">
        <v>48750</v>
      </c>
      <c r="O704">
        <f t="shared" ca="1" si="70"/>
        <v>0.95189873417721516</v>
      </c>
    </row>
    <row r="705" spans="1:15" x14ac:dyDescent="0.2">
      <c r="A705" t="str">
        <f ca="1">IFERROR(__xludf.DUMMYFUNCTION("""COMPUTED_VALUE"""),"km")</f>
        <v>km</v>
      </c>
      <c r="B705" t="str">
        <f ca="1">IFERROR(__xludf.DUMMYFUNCTION("""COMPUTED_VALUE"""),"Model S 85")</f>
        <v>Model S 85</v>
      </c>
      <c r="D705">
        <f ca="1">IFERROR(__xludf.DUMMYFUNCTION("""COMPUTED_VALUE"""),78334)</f>
        <v>78334</v>
      </c>
      <c r="E705">
        <f ca="1">IFERROR(__xludf.DUMMYFUNCTION("""COMPUTED_VALUE"""),376)</f>
        <v>376</v>
      </c>
      <c r="F705">
        <v>395</v>
      </c>
      <c r="G705">
        <v>0.95189873417721516</v>
      </c>
      <c r="H705">
        <v>48674</v>
      </c>
      <c r="I705">
        <v>78334</v>
      </c>
      <c r="J705">
        <v>48674</v>
      </c>
      <c r="K705">
        <v>0.95197453503566754</v>
      </c>
      <c r="L705">
        <f t="shared" ca="1" si="71"/>
        <v>233.63549599999999</v>
      </c>
      <c r="M705">
        <f t="shared" si="72"/>
        <v>245.44154499999999</v>
      </c>
      <c r="N705">
        <v>48674</v>
      </c>
      <c r="O705">
        <f t="shared" ca="1" si="70"/>
        <v>0.95189873417721516</v>
      </c>
    </row>
    <row r="706" spans="1:15" x14ac:dyDescent="0.2">
      <c r="A706" t="str">
        <f ca="1">IFERROR(__xludf.DUMMYFUNCTION("""COMPUTED_VALUE"""),"km")</f>
        <v>km</v>
      </c>
      <c r="B706" t="str">
        <f ca="1">IFERROR(__xludf.DUMMYFUNCTION("""COMPUTED_VALUE"""),"Model S 85")</f>
        <v>Model S 85</v>
      </c>
      <c r="C706">
        <f ca="1">IFERROR(__xludf.DUMMYFUNCTION("""COMPUTED_VALUE"""),383)</f>
        <v>383</v>
      </c>
      <c r="D706">
        <f ca="1">IFERROR(__xludf.DUMMYFUNCTION("""COMPUTED_VALUE"""),102000)</f>
        <v>102000</v>
      </c>
      <c r="E706">
        <f ca="1">IFERROR(__xludf.DUMMYFUNCTION("""COMPUTED_VALUE"""),376)</f>
        <v>376</v>
      </c>
      <c r="F706">
        <v>395</v>
      </c>
      <c r="G706">
        <v>0.95189873417721516</v>
      </c>
      <c r="H706">
        <v>63380</v>
      </c>
      <c r="I706">
        <v>102000</v>
      </c>
      <c r="J706">
        <v>63380</v>
      </c>
      <c r="K706">
        <v>0.93977840010129254</v>
      </c>
      <c r="L706">
        <f t="shared" ca="1" si="71"/>
        <v>233.63549599999999</v>
      </c>
      <c r="M706">
        <f t="shared" si="72"/>
        <v>245.44154499999999</v>
      </c>
      <c r="N706">
        <v>63380</v>
      </c>
      <c r="O706">
        <f t="shared" ref="O706:O769" ca="1" si="73">L706/M706</f>
        <v>0.95189873417721516</v>
      </c>
    </row>
    <row r="707" spans="1:15" x14ac:dyDescent="0.2">
      <c r="A707" t="str">
        <f ca="1">IFERROR(__xludf.DUMMYFUNCTION("""COMPUTED_VALUE"""),"km")</f>
        <v>km</v>
      </c>
      <c r="B707" t="str">
        <f ca="1">IFERROR(__xludf.DUMMYFUNCTION("""COMPUTED_VALUE"""),"Model S 85")</f>
        <v>Model S 85</v>
      </c>
      <c r="C707">
        <f ca="1">IFERROR(__xludf.DUMMYFUNCTION("""COMPUTED_VALUE"""),388)</f>
        <v>388</v>
      </c>
      <c r="D707">
        <f ca="1">IFERROR(__xludf.DUMMYFUNCTION("""COMPUTED_VALUE"""),76800)</f>
        <v>76800</v>
      </c>
      <c r="E707">
        <f ca="1">IFERROR(__xludf.DUMMYFUNCTION("""COMPUTED_VALUE"""),376)</f>
        <v>376</v>
      </c>
      <c r="F707">
        <v>395</v>
      </c>
      <c r="G707">
        <v>0.95189873417721516</v>
      </c>
      <c r="H707">
        <v>47721</v>
      </c>
      <c r="I707">
        <v>76800</v>
      </c>
      <c r="J707">
        <v>47721</v>
      </c>
      <c r="K707">
        <v>0.95280319754120024</v>
      </c>
      <c r="L707">
        <f t="shared" ca="1" si="71"/>
        <v>233.63549599999999</v>
      </c>
      <c r="M707">
        <f t="shared" si="72"/>
        <v>245.44154499999999</v>
      </c>
      <c r="N707">
        <v>47721</v>
      </c>
      <c r="O707">
        <f t="shared" ca="1" si="73"/>
        <v>0.95189873417721516</v>
      </c>
    </row>
    <row r="708" spans="1:15" x14ac:dyDescent="0.2">
      <c r="A708" t="str">
        <f ca="1">IFERROR(__xludf.DUMMYFUNCTION("""COMPUTED_VALUE"""),"km")</f>
        <v>km</v>
      </c>
      <c r="B708" t="str">
        <f ca="1">IFERROR(__xludf.DUMMYFUNCTION("""COMPUTED_VALUE"""),"Model S 85")</f>
        <v>Model S 85</v>
      </c>
      <c r="D708">
        <f ca="1">IFERROR(__xludf.DUMMYFUNCTION("""COMPUTED_VALUE"""),156500)</f>
        <v>156500</v>
      </c>
      <c r="E708">
        <f ca="1">IFERROR(__xludf.DUMMYFUNCTION("""COMPUTED_VALUE"""),376)</f>
        <v>376</v>
      </c>
      <c r="F708">
        <v>395</v>
      </c>
      <c r="G708">
        <v>0.95189873417721516</v>
      </c>
      <c r="H708">
        <v>97245</v>
      </c>
      <c r="I708">
        <v>156500</v>
      </c>
      <c r="J708">
        <v>97245</v>
      </c>
      <c r="K708">
        <v>0.9160228454386844</v>
      </c>
      <c r="L708">
        <f t="shared" ca="1" si="71"/>
        <v>233.63549599999999</v>
      </c>
      <c r="M708">
        <f t="shared" si="72"/>
        <v>245.44154499999999</v>
      </c>
      <c r="N708">
        <v>97245</v>
      </c>
      <c r="O708">
        <f t="shared" ca="1" si="73"/>
        <v>0.95189873417721516</v>
      </c>
    </row>
    <row r="709" spans="1:15" x14ac:dyDescent="0.2">
      <c r="A709" t="str">
        <f ca="1">IFERROR(__xludf.DUMMYFUNCTION("""COMPUTED_VALUE"""),"km")</f>
        <v>km</v>
      </c>
      <c r="B709" t="str">
        <f ca="1">IFERROR(__xludf.DUMMYFUNCTION("""COMPUTED_VALUE"""),"Model S 85")</f>
        <v>Model S 85</v>
      </c>
      <c r="D709">
        <f ca="1">IFERROR(__xludf.DUMMYFUNCTION("""COMPUTED_VALUE"""),123275)</f>
        <v>123275</v>
      </c>
      <c r="E709">
        <f ca="1">IFERROR(__xludf.DUMMYFUNCTION("""COMPUTED_VALUE"""),376)</f>
        <v>376</v>
      </c>
      <c r="F709">
        <v>395</v>
      </c>
      <c r="G709">
        <v>0.95189873417721516</v>
      </c>
      <c r="H709">
        <v>76600</v>
      </c>
      <c r="I709">
        <v>123275</v>
      </c>
      <c r="J709">
        <v>76600</v>
      </c>
      <c r="K709">
        <v>0.92977417175059229</v>
      </c>
      <c r="L709">
        <f t="shared" ca="1" si="71"/>
        <v>233.63549599999999</v>
      </c>
      <c r="M709">
        <f t="shared" si="72"/>
        <v>245.44154499999999</v>
      </c>
      <c r="N709">
        <v>76600</v>
      </c>
      <c r="O709">
        <f t="shared" ca="1" si="73"/>
        <v>0.95189873417721516</v>
      </c>
    </row>
    <row r="710" spans="1:15" x14ac:dyDescent="0.2">
      <c r="A710" t="str">
        <f ca="1">IFERROR(__xludf.DUMMYFUNCTION("""COMPUTED_VALUE"""),"km")</f>
        <v>km</v>
      </c>
      <c r="B710" t="str">
        <f ca="1">IFERROR(__xludf.DUMMYFUNCTION("""COMPUTED_VALUE"""),"Model S 85")</f>
        <v>Model S 85</v>
      </c>
      <c r="C710">
        <f ca="1">IFERROR(__xludf.DUMMYFUNCTION("""COMPUTED_VALUE"""),388)</f>
        <v>388</v>
      </c>
      <c r="D710">
        <f ca="1">IFERROR(__xludf.DUMMYFUNCTION("""COMPUTED_VALUE"""),68068)</f>
        <v>68068</v>
      </c>
      <c r="E710">
        <f ca="1">IFERROR(__xludf.DUMMYFUNCTION("""COMPUTED_VALUE"""),376)</f>
        <v>376</v>
      </c>
      <c r="F710">
        <v>395</v>
      </c>
      <c r="G710">
        <v>0.95189873417721516</v>
      </c>
      <c r="H710">
        <v>42295</v>
      </c>
      <c r="I710">
        <v>68068</v>
      </c>
      <c r="J710">
        <v>42295</v>
      </c>
      <c r="K710">
        <v>0.95760747836662752</v>
      </c>
      <c r="L710">
        <f t="shared" ca="1" si="71"/>
        <v>233.63549599999999</v>
      </c>
      <c r="M710">
        <f t="shared" si="72"/>
        <v>245.44154499999999</v>
      </c>
      <c r="N710">
        <v>42295</v>
      </c>
      <c r="O710">
        <f t="shared" ca="1" si="73"/>
        <v>0.95189873417721516</v>
      </c>
    </row>
    <row r="711" spans="1:15" x14ac:dyDescent="0.2">
      <c r="A711" t="str">
        <f ca="1">IFERROR(__xludf.DUMMYFUNCTION("""COMPUTED_VALUE"""),"km")</f>
        <v>km</v>
      </c>
      <c r="B711" t="str">
        <f ca="1">IFERROR(__xludf.DUMMYFUNCTION("""COMPUTED_VALUE"""),"Model S 85")</f>
        <v>Model S 85</v>
      </c>
      <c r="D711">
        <f ca="1">IFERROR(__xludf.DUMMYFUNCTION("""COMPUTED_VALUE"""),140050)</f>
        <v>140050</v>
      </c>
      <c r="E711">
        <f ca="1">IFERROR(__xludf.DUMMYFUNCTION("""COMPUTED_VALUE"""),376)</f>
        <v>376</v>
      </c>
      <c r="F711">
        <v>395</v>
      </c>
      <c r="G711">
        <v>0.95189873417721516</v>
      </c>
      <c r="H711">
        <v>87023</v>
      </c>
      <c r="I711">
        <v>140050</v>
      </c>
      <c r="J711">
        <v>87023</v>
      </c>
      <c r="K711">
        <v>0.92254181786627476</v>
      </c>
      <c r="L711">
        <f t="shared" ca="1" si="71"/>
        <v>233.63549599999999</v>
      </c>
      <c r="M711">
        <f t="shared" si="72"/>
        <v>245.44154499999999</v>
      </c>
      <c r="N711">
        <v>87023</v>
      </c>
      <c r="O711">
        <f t="shared" ca="1" si="73"/>
        <v>0.95189873417721516</v>
      </c>
    </row>
    <row r="712" spans="1:15" x14ac:dyDescent="0.2">
      <c r="A712" t="str">
        <f ca="1">IFERROR(__xludf.DUMMYFUNCTION("""COMPUTED_VALUE"""),"km")</f>
        <v>km</v>
      </c>
      <c r="B712" t="str">
        <f ca="1">IFERROR(__xludf.DUMMYFUNCTION("""COMPUTED_VALUE"""),"Model S P85+")</f>
        <v>Model S P85+</v>
      </c>
      <c r="D712">
        <f ca="1">IFERROR(__xludf.DUMMYFUNCTION("""COMPUTED_VALUE"""),97310)</f>
        <v>97310</v>
      </c>
      <c r="E712">
        <f ca="1">IFERROR(__xludf.DUMMYFUNCTION("""COMPUTED_VALUE"""),376)</f>
        <v>376</v>
      </c>
      <c r="F712">
        <v>395</v>
      </c>
      <c r="G712">
        <v>0.95189873417721516</v>
      </c>
      <c r="H712">
        <v>60466</v>
      </c>
      <c r="I712">
        <v>97310</v>
      </c>
      <c r="J712">
        <v>60466</v>
      </c>
      <c r="K712">
        <v>0.9421069086049737</v>
      </c>
      <c r="L712">
        <f t="shared" ca="1" si="71"/>
        <v>233.63549599999999</v>
      </c>
      <c r="M712">
        <f t="shared" si="72"/>
        <v>245.44154499999999</v>
      </c>
      <c r="N712">
        <v>60466</v>
      </c>
      <c r="O712">
        <f t="shared" ca="1" si="73"/>
        <v>0.95189873417721516</v>
      </c>
    </row>
    <row r="713" spans="1:15" x14ac:dyDescent="0.2">
      <c r="A713" t="str">
        <f ca="1">IFERROR(__xludf.DUMMYFUNCTION("""COMPUTED_VALUE"""),"km")</f>
        <v>km</v>
      </c>
      <c r="B713" t="str">
        <f ca="1">IFERROR(__xludf.DUMMYFUNCTION("""COMPUTED_VALUE"""),"Model S P85")</f>
        <v>Model S P85</v>
      </c>
      <c r="C713">
        <f ca="1">IFERROR(__xludf.DUMMYFUNCTION("""COMPUTED_VALUE"""),396)</f>
        <v>396</v>
      </c>
      <c r="D713">
        <f ca="1">IFERROR(__xludf.DUMMYFUNCTION("""COMPUTED_VALUE"""),71000)</f>
        <v>71000</v>
      </c>
      <c r="E713">
        <f ca="1">IFERROR(__xludf.DUMMYFUNCTION("""COMPUTED_VALUE"""),376)</f>
        <v>376</v>
      </c>
      <c r="F713">
        <v>395</v>
      </c>
      <c r="G713">
        <v>0.95189873417721516</v>
      </c>
      <c r="H713">
        <v>44117</v>
      </c>
      <c r="I713">
        <v>71000</v>
      </c>
      <c r="J713">
        <v>44117</v>
      </c>
      <c r="K713">
        <v>0.95597780272580435</v>
      </c>
      <c r="L713">
        <f t="shared" ca="1" si="71"/>
        <v>233.63549599999999</v>
      </c>
      <c r="M713">
        <f t="shared" si="72"/>
        <v>245.44154499999999</v>
      </c>
      <c r="N713">
        <v>44117</v>
      </c>
      <c r="O713">
        <f t="shared" ca="1" si="73"/>
        <v>0.95189873417721516</v>
      </c>
    </row>
    <row r="714" spans="1:15" x14ac:dyDescent="0.2">
      <c r="A714" t="str">
        <f ca="1">IFERROR(__xludf.DUMMYFUNCTION("""COMPUTED_VALUE"""),"km")</f>
        <v>km</v>
      </c>
      <c r="B714" t="str">
        <f ca="1">IFERROR(__xludf.DUMMYFUNCTION("""COMPUTED_VALUE"""),"Model S 85")</f>
        <v>Model S 85</v>
      </c>
      <c r="D714">
        <f ca="1">IFERROR(__xludf.DUMMYFUNCTION("""COMPUTED_VALUE"""),42900)</f>
        <v>42900</v>
      </c>
      <c r="E714">
        <f ca="1">IFERROR(__xludf.DUMMYFUNCTION("""COMPUTED_VALUE"""),376)</f>
        <v>376</v>
      </c>
      <c r="F714">
        <v>395</v>
      </c>
      <c r="G714">
        <v>0.95189873417721516</v>
      </c>
      <c r="H714">
        <v>26657</v>
      </c>
      <c r="I714">
        <v>42900</v>
      </c>
      <c r="J714">
        <v>26657</v>
      </c>
      <c r="K714">
        <v>0.97227437920217308</v>
      </c>
      <c r="L714">
        <f t="shared" ca="1" si="71"/>
        <v>233.63549599999999</v>
      </c>
      <c r="M714">
        <f t="shared" si="72"/>
        <v>245.44154499999999</v>
      </c>
      <c r="N714">
        <v>26657</v>
      </c>
      <c r="O714">
        <f t="shared" ca="1" si="73"/>
        <v>0.95189873417721516</v>
      </c>
    </row>
    <row r="715" spans="1:15" x14ac:dyDescent="0.2">
      <c r="A715" t="str">
        <f ca="1">IFERROR(__xludf.DUMMYFUNCTION("""COMPUTED_VALUE"""),"km")</f>
        <v>km</v>
      </c>
      <c r="B715" t="str">
        <f ca="1">IFERROR(__xludf.DUMMYFUNCTION("""COMPUTED_VALUE"""),"Model S P85+")</f>
        <v>Model S P85+</v>
      </c>
      <c r="C715">
        <f ca="1">IFERROR(__xludf.DUMMYFUNCTION("""COMPUTED_VALUE"""),400)</f>
        <v>400</v>
      </c>
      <c r="D715">
        <f ca="1">IFERROR(__xludf.DUMMYFUNCTION("""COMPUTED_VALUE"""),89850)</f>
        <v>89850</v>
      </c>
      <c r="E715">
        <f ca="1">IFERROR(__xludf.DUMMYFUNCTION("""COMPUTED_VALUE"""),376)</f>
        <v>376</v>
      </c>
      <c r="F715">
        <v>395</v>
      </c>
      <c r="G715">
        <v>0.95189873417721516</v>
      </c>
      <c r="H715">
        <v>55830</v>
      </c>
      <c r="I715">
        <v>89850</v>
      </c>
      <c r="J715">
        <v>55830</v>
      </c>
      <c r="K715">
        <v>0.94590115642112771</v>
      </c>
      <c r="L715">
        <f t="shared" ca="1" si="71"/>
        <v>233.63549599999999</v>
      </c>
      <c r="M715">
        <f t="shared" si="72"/>
        <v>245.44154499999999</v>
      </c>
      <c r="N715">
        <v>55830</v>
      </c>
      <c r="O715">
        <f t="shared" ca="1" si="73"/>
        <v>0.95189873417721516</v>
      </c>
    </row>
    <row r="716" spans="1:15" x14ac:dyDescent="0.2">
      <c r="A716" t="str">
        <f ca="1">IFERROR(__xludf.DUMMYFUNCTION("""COMPUTED_VALUE"""),"km")</f>
        <v>km</v>
      </c>
      <c r="B716" t="str">
        <f ca="1">IFERROR(__xludf.DUMMYFUNCTION("""COMPUTED_VALUE"""),"Model S 85")</f>
        <v>Model S 85</v>
      </c>
      <c r="D716">
        <f ca="1">IFERROR(__xludf.DUMMYFUNCTION("""COMPUTED_VALUE"""),49285)</f>
        <v>49285</v>
      </c>
      <c r="E716">
        <f ca="1">IFERROR(__xludf.DUMMYFUNCTION("""COMPUTED_VALUE"""),376)</f>
        <v>376</v>
      </c>
      <c r="F716">
        <v>395</v>
      </c>
      <c r="G716">
        <v>0.95189873417721516</v>
      </c>
      <c r="H716">
        <v>30624</v>
      </c>
      <c r="I716">
        <v>49285</v>
      </c>
      <c r="J716">
        <v>30624</v>
      </c>
      <c r="K716">
        <v>0.96843943746375416</v>
      </c>
      <c r="L716">
        <f t="shared" ca="1" si="71"/>
        <v>233.63549599999999</v>
      </c>
      <c r="M716">
        <f t="shared" si="72"/>
        <v>245.44154499999999</v>
      </c>
      <c r="N716">
        <v>30624</v>
      </c>
      <c r="O716">
        <f t="shared" ca="1" si="73"/>
        <v>0.95189873417721516</v>
      </c>
    </row>
    <row r="717" spans="1:15" x14ac:dyDescent="0.2">
      <c r="A717" t="str">
        <f ca="1">IFERROR(__xludf.DUMMYFUNCTION("""COMPUTED_VALUE"""),"km")</f>
        <v>km</v>
      </c>
      <c r="B717" t="str">
        <f ca="1">IFERROR(__xludf.DUMMYFUNCTION("""COMPUTED_VALUE"""),"Model S 85")</f>
        <v>Model S 85</v>
      </c>
      <c r="D717">
        <f ca="1">IFERROR(__xludf.DUMMYFUNCTION("""COMPUTED_VALUE"""),42700)</f>
        <v>42700</v>
      </c>
      <c r="E717">
        <f ca="1">IFERROR(__xludf.DUMMYFUNCTION("""COMPUTED_VALUE"""),376)</f>
        <v>376</v>
      </c>
      <c r="F717">
        <v>395</v>
      </c>
      <c r="G717">
        <v>0.95189873417721516</v>
      </c>
      <c r="H717">
        <v>26533</v>
      </c>
      <c r="I717">
        <v>42700</v>
      </c>
      <c r="J717">
        <v>26533</v>
      </c>
      <c r="K717">
        <v>0.97239574279083585</v>
      </c>
      <c r="L717">
        <f t="shared" ca="1" si="71"/>
        <v>233.63549599999999</v>
      </c>
      <c r="M717">
        <f t="shared" si="72"/>
        <v>245.44154499999999</v>
      </c>
      <c r="N717">
        <v>26533</v>
      </c>
      <c r="O717">
        <f t="shared" ca="1" si="73"/>
        <v>0.95189873417721516</v>
      </c>
    </row>
    <row r="718" spans="1:15" x14ac:dyDescent="0.2">
      <c r="A718" t="str">
        <f ca="1">IFERROR(__xludf.DUMMYFUNCTION("""COMPUTED_VALUE"""),"km")</f>
        <v>km</v>
      </c>
      <c r="B718" t="str">
        <f ca="1">IFERROR(__xludf.DUMMYFUNCTION("""COMPUTED_VALUE"""),"Model S 85")</f>
        <v>Model S 85</v>
      </c>
      <c r="C718">
        <f ca="1">IFERROR(__xludf.DUMMYFUNCTION("""COMPUTED_VALUE"""),393)</f>
        <v>393</v>
      </c>
      <c r="D718">
        <f ca="1">IFERROR(__xludf.DUMMYFUNCTION("""COMPUTED_VALUE"""),41628)</f>
        <v>41628</v>
      </c>
      <c r="E718">
        <f ca="1">IFERROR(__xludf.DUMMYFUNCTION("""COMPUTED_VALUE"""),376)</f>
        <v>376</v>
      </c>
      <c r="F718">
        <v>395</v>
      </c>
      <c r="G718">
        <v>0.95189873417721516</v>
      </c>
      <c r="H718">
        <v>25866</v>
      </c>
      <c r="I718">
        <v>41628</v>
      </c>
      <c r="J718">
        <v>25866</v>
      </c>
      <c r="K718">
        <v>0.97304753189353921</v>
      </c>
      <c r="L718">
        <f t="shared" ca="1" si="71"/>
        <v>233.63549599999999</v>
      </c>
      <c r="M718">
        <f t="shared" si="72"/>
        <v>245.44154499999999</v>
      </c>
      <c r="N718">
        <v>25866</v>
      </c>
      <c r="O718">
        <f t="shared" ca="1" si="73"/>
        <v>0.95189873417721516</v>
      </c>
    </row>
    <row r="719" spans="1:15" x14ac:dyDescent="0.2">
      <c r="A719" t="str">
        <f ca="1">IFERROR(__xludf.DUMMYFUNCTION("""COMPUTED_VALUE"""),"km")</f>
        <v>km</v>
      </c>
      <c r="B719" t="str">
        <f ca="1">IFERROR(__xludf.DUMMYFUNCTION("""COMPUTED_VALUE"""),"Model S 85")</f>
        <v>Model S 85</v>
      </c>
      <c r="C719">
        <f ca="1">IFERROR(__xludf.DUMMYFUNCTION("""COMPUTED_VALUE"""),399)</f>
        <v>399</v>
      </c>
      <c r="D719">
        <f ca="1">IFERROR(__xludf.DUMMYFUNCTION("""COMPUTED_VALUE"""),31500)</f>
        <v>31500</v>
      </c>
      <c r="E719">
        <f ca="1">IFERROR(__xludf.DUMMYFUNCTION("""COMPUTED_VALUE"""),376)</f>
        <v>376</v>
      </c>
      <c r="F719">
        <v>395</v>
      </c>
      <c r="G719">
        <v>0.95189873417721516</v>
      </c>
      <c r="H719">
        <v>19573</v>
      </c>
      <c r="I719">
        <v>31500</v>
      </c>
      <c r="J719">
        <v>19573</v>
      </c>
      <c r="K719">
        <v>0.97931152430216717</v>
      </c>
      <c r="L719">
        <f t="shared" ca="1" si="71"/>
        <v>233.63549599999999</v>
      </c>
      <c r="M719">
        <f t="shared" si="72"/>
        <v>245.44154499999999</v>
      </c>
      <c r="N719">
        <v>19573</v>
      </c>
      <c r="O719">
        <f t="shared" ca="1" si="73"/>
        <v>0.95189873417721516</v>
      </c>
    </row>
    <row r="720" spans="1:15" x14ac:dyDescent="0.2">
      <c r="A720" t="str">
        <f ca="1">IFERROR(__xludf.DUMMYFUNCTION("""COMPUTED_VALUE"""),"km")</f>
        <v>km</v>
      </c>
      <c r="B720" t="str">
        <f ca="1">IFERROR(__xludf.DUMMYFUNCTION("""COMPUTED_VALUE"""),"Model S 85")</f>
        <v>Model S 85</v>
      </c>
      <c r="C720">
        <f ca="1">IFERROR(__xludf.DUMMYFUNCTION("""COMPUTED_VALUE"""),398)</f>
        <v>398</v>
      </c>
      <c r="D720">
        <f ca="1">IFERROR(__xludf.DUMMYFUNCTION("""COMPUTED_VALUE"""),62375)</f>
        <v>62375</v>
      </c>
      <c r="E720">
        <f ca="1">IFERROR(__xludf.DUMMYFUNCTION("""COMPUTED_VALUE"""),376)</f>
        <v>376</v>
      </c>
      <c r="F720">
        <v>395</v>
      </c>
      <c r="G720">
        <v>0.95189873417721516</v>
      </c>
      <c r="H720">
        <v>38758</v>
      </c>
      <c r="I720">
        <v>62375</v>
      </c>
      <c r="J720">
        <v>38758</v>
      </c>
      <c r="K720">
        <v>0.96081919897168289</v>
      </c>
      <c r="L720">
        <f t="shared" ca="1" si="71"/>
        <v>233.63549599999999</v>
      </c>
      <c r="M720">
        <f t="shared" si="72"/>
        <v>245.44154499999999</v>
      </c>
      <c r="N720">
        <v>38758</v>
      </c>
      <c r="O720">
        <f t="shared" ca="1" si="73"/>
        <v>0.95189873417721516</v>
      </c>
    </row>
    <row r="721" spans="1:15" x14ac:dyDescent="0.2">
      <c r="A721" t="str">
        <f ca="1">IFERROR(__xludf.DUMMYFUNCTION("""COMPUTED_VALUE"""),"km")</f>
        <v>km</v>
      </c>
      <c r="B721" t="str">
        <f ca="1">IFERROR(__xludf.DUMMYFUNCTION("""COMPUTED_VALUE"""),"Model S 85")</f>
        <v>Model S 85</v>
      </c>
      <c r="C721">
        <f ca="1">IFERROR(__xludf.DUMMYFUNCTION("""COMPUTED_VALUE"""),398)</f>
        <v>398</v>
      </c>
      <c r="D721">
        <f ca="1">IFERROR(__xludf.DUMMYFUNCTION("""COMPUTED_VALUE"""),61228)</f>
        <v>61228</v>
      </c>
      <c r="E721">
        <f ca="1">IFERROR(__xludf.DUMMYFUNCTION("""COMPUTED_VALUE"""),376)</f>
        <v>376</v>
      </c>
      <c r="F721">
        <v>395</v>
      </c>
      <c r="G721">
        <v>0.95189873417721516</v>
      </c>
      <c r="H721">
        <v>38045</v>
      </c>
      <c r="I721">
        <v>61228</v>
      </c>
      <c r="J721">
        <v>38045</v>
      </c>
      <c r="K721">
        <v>0.96147382995077135</v>
      </c>
      <c r="L721">
        <f t="shared" ca="1" si="71"/>
        <v>233.63549599999999</v>
      </c>
      <c r="M721">
        <f t="shared" si="72"/>
        <v>245.44154499999999</v>
      </c>
      <c r="N721">
        <v>38045</v>
      </c>
      <c r="O721">
        <f t="shared" ca="1" si="73"/>
        <v>0.95189873417721516</v>
      </c>
    </row>
    <row r="722" spans="1:15" x14ac:dyDescent="0.2">
      <c r="A722" t="str">
        <f ca="1">IFERROR(__xludf.DUMMYFUNCTION("""COMPUTED_VALUE"""),"km")</f>
        <v>km</v>
      </c>
      <c r="B722" t="str">
        <f ca="1">IFERROR(__xludf.DUMMYFUNCTION("""COMPUTED_VALUE"""),"Model S P85")</f>
        <v>Model S P85</v>
      </c>
      <c r="D722">
        <f ca="1">IFERROR(__xludf.DUMMYFUNCTION("""COMPUTED_VALUE"""),105000)</f>
        <v>105000</v>
      </c>
      <c r="E722">
        <f ca="1">IFERROR(__xludf.DUMMYFUNCTION("""COMPUTED_VALUE"""),376)</f>
        <v>376</v>
      </c>
      <c r="F722">
        <v>395</v>
      </c>
      <c r="G722">
        <v>0.95189873417721516</v>
      </c>
      <c r="H722">
        <v>65244</v>
      </c>
      <c r="I722">
        <v>105000</v>
      </c>
      <c r="J722">
        <v>65244</v>
      </c>
      <c r="K722">
        <v>0.93831211079456955</v>
      </c>
      <c r="L722">
        <f t="shared" ca="1" si="71"/>
        <v>233.63549599999999</v>
      </c>
      <c r="M722">
        <f t="shared" si="72"/>
        <v>245.44154499999999</v>
      </c>
      <c r="N722">
        <v>65244</v>
      </c>
      <c r="O722">
        <f t="shared" ca="1" si="73"/>
        <v>0.95189873417721516</v>
      </c>
    </row>
    <row r="723" spans="1:15" x14ac:dyDescent="0.2">
      <c r="A723" t="str">
        <f ca="1">IFERROR(__xludf.DUMMYFUNCTION("""COMPUTED_VALUE"""),"km")</f>
        <v>km</v>
      </c>
      <c r="B723" t="str">
        <f ca="1">IFERROR(__xludf.DUMMYFUNCTION("""COMPUTED_VALUE"""),"Model S P85")</f>
        <v>Model S P85</v>
      </c>
      <c r="D723">
        <f ca="1">IFERROR(__xludf.DUMMYFUNCTION("""COMPUTED_VALUE"""),53600)</f>
        <v>53600</v>
      </c>
      <c r="E723">
        <f ca="1">IFERROR(__xludf.DUMMYFUNCTION("""COMPUTED_VALUE"""),376)</f>
        <v>376</v>
      </c>
      <c r="F723">
        <v>395</v>
      </c>
      <c r="G723">
        <v>0.95189873417721516</v>
      </c>
      <c r="H723">
        <v>33305</v>
      </c>
      <c r="I723">
        <v>53600</v>
      </c>
      <c r="J723">
        <v>33305</v>
      </c>
      <c r="K723">
        <v>0.96589142869530431</v>
      </c>
      <c r="L723">
        <f t="shared" ca="1" si="71"/>
        <v>233.63549599999999</v>
      </c>
      <c r="M723">
        <f t="shared" si="72"/>
        <v>245.44154499999999</v>
      </c>
      <c r="N723">
        <v>33305</v>
      </c>
      <c r="O723">
        <f t="shared" ca="1" si="73"/>
        <v>0.95189873417721516</v>
      </c>
    </row>
    <row r="724" spans="1:15" x14ac:dyDescent="0.2">
      <c r="A724" t="str">
        <f ca="1">IFERROR(__xludf.DUMMYFUNCTION("""COMPUTED_VALUE"""),"km")</f>
        <v>km</v>
      </c>
      <c r="B724" t="str">
        <f ca="1">IFERROR(__xludf.DUMMYFUNCTION("""COMPUTED_VALUE"""),"Model S 85")</f>
        <v>Model S 85</v>
      </c>
      <c r="D724">
        <f ca="1">IFERROR(__xludf.DUMMYFUNCTION("""COMPUTED_VALUE"""),54432)</f>
        <v>54432</v>
      </c>
      <c r="E724">
        <f ca="1">IFERROR(__xludf.DUMMYFUNCTION("""COMPUTED_VALUE"""),376)</f>
        <v>376</v>
      </c>
      <c r="F724">
        <v>395</v>
      </c>
      <c r="G724">
        <v>0.95189873417721516</v>
      </c>
      <c r="H724">
        <v>33822</v>
      </c>
      <c r="I724">
        <v>54432</v>
      </c>
      <c r="J724">
        <v>33822</v>
      </c>
      <c r="K724">
        <v>0.96540419914901654</v>
      </c>
      <c r="L724">
        <f t="shared" ca="1" si="71"/>
        <v>233.63549599999999</v>
      </c>
      <c r="M724">
        <f t="shared" si="72"/>
        <v>245.44154499999999</v>
      </c>
      <c r="N724">
        <v>33822</v>
      </c>
      <c r="O724">
        <f t="shared" ca="1" si="73"/>
        <v>0.95189873417721516</v>
      </c>
    </row>
    <row r="725" spans="1:15" x14ac:dyDescent="0.2">
      <c r="A725" t="str">
        <f ca="1">IFERROR(__xludf.DUMMYFUNCTION("""COMPUTED_VALUE"""),"km")</f>
        <v>km</v>
      </c>
      <c r="B725" t="str">
        <f ca="1">IFERROR(__xludf.DUMMYFUNCTION("""COMPUTED_VALUE"""),"Model 3 LR AWD")</f>
        <v>Model 3 LR AWD</v>
      </c>
      <c r="C725">
        <f ca="1">IFERROR(__xludf.DUMMYFUNCTION("""COMPUTED_VALUE"""),499)</f>
        <v>499</v>
      </c>
      <c r="D725">
        <f ca="1">IFERROR(__xludf.DUMMYFUNCTION("""COMPUTED_VALUE"""),31800)</f>
        <v>31800</v>
      </c>
      <c r="E725">
        <f ca="1">IFERROR(__xludf.DUMMYFUNCTION("""COMPUTED_VALUE"""),475)</f>
        <v>475</v>
      </c>
      <c r="F725">
        <v>499</v>
      </c>
      <c r="G725">
        <v>0.95190380761523041</v>
      </c>
      <c r="H725">
        <v>19760</v>
      </c>
      <c r="I725">
        <v>31800</v>
      </c>
      <c r="J725">
        <v>19760</v>
      </c>
      <c r="K725">
        <v>0.97912323450803596</v>
      </c>
      <c r="L725">
        <f t="shared" ca="1" si="71"/>
        <v>295.15122500000001</v>
      </c>
      <c r="M725">
        <f t="shared" si="72"/>
        <v>310.06412899999998</v>
      </c>
      <c r="N725">
        <v>19760</v>
      </c>
      <c r="O725">
        <f t="shared" ca="1" si="73"/>
        <v>0.95190380761523052</v>
      </c>
    </row>
    <row r="726" spans="1:15" x14ac:dyDescent="0.2">
      <c r="A726" t="str">
        <f ca="1">IFERROR(__xludf.DUMMYFUNCTION("""COMPUTED_VALUE"""),"km")</f>
        <v>km</v>
      </c>
      <c r="B726" t="str">
        <f ca="1">IFERROR(__xludf.DUMMYFUNCTION("""COMPUTED_VALUE"""),"Model S 70D")</f>
        <v>Model S 70D</v>
      </c>
      <c r="C726">
        <f ca="1">IFERROR(__xludf.DUMMYFUNCTION("""COMPUTED_VALUE"""),369)</f>
        <v>369</v>
      </c>
      <c r="D726">
        <f ca="1">IFERROR(__xludf.DUMMYFUNCTION("""COMPUTED_VALUE"""),105800)</f>
        <v>105800</v>
      </c>
      <c r="E726">
        <f ca="1">IFERROR(__xludf.DUMMYFUNCTION("""COMPUTED_VALUE"""),343)</f>
        <v>343</v>
      </c>
      <c r="F726">
        <v>360</v>
      </c>
      <c r="G726">
        <v>0.95277777777777772</v>
      </c>
      <c r="H726">
        <v>65741</v>
      </c>
      <c r="I726">
        <v>105800</v>
      </c>
      <c r="J726">
        <v>65741</v>
      </c>
      <c r="K726">
        <v>0.93792416222296804</v>
      </c>
      <c r="L726">
        <f t="shared" ca="1" si="71"/>
        <v>213.13025300000001</v>
      </c>
      <c r="M726">
        <f t="shared" si="72"/>
        <v>223.69355999999999</v>
      </c>
      <c r="N726">
        <v>65741</v>
      </c>
      <c r="O726">
        <f t="shared" ca="1" si="73"/>
        <v>0.95277777777777783</v>
      </c>
    </row>
    <row r="727" spans="1:15" x14ac:dyDescent="0.2">
      <c r="A727" t="str">
        <f ca="1">IFERROR(__xludf.DUMMYFUNCTION("""COMPUTED_VALUE"""),"km")</f>
        <v>km</v>
      </c>
      <c r="B727" t="str">
        <f ca="1">IFERROR(__xludf.DUMMYFUNCTION("""COMPUTED_VALUE"""),"Model S 70D")</f>
        <v>Model S 70D</v>
      </c>
      <c r="D727">
        <f ca="1">IFERROR(__xludf.DUMMYFUNCTION("""COMPUTED_VALUE"""),69089)</f>
        <v>69089</v>
      </c>
      <c r="E727">
        <f ca="1">IFERROR(__xludf.DUMMYFUNCTION("""COMPUTED_VALUE"""),343)</f>
        <v>343</v>
      </c>
      <c r="F727">
        <v>360</v>
      </c>
      <c r="G727">
        <v>0.95277777777777772</v>
      </c>
      <c r="H727">
        <v>42930</v>
      </c>
      <c r="I727">
        <v>69089</v>
      </c>
      <c r="J727">
        <v>42930</v>
      </c>
      <c r="K727">
        <v>0.95703809328729772</v>
      </c>
      <c r="L727">
        <f t="shared" ca="1" si="71"/>
        <v>213.13025300000001</v>
      </c>
      <c r="M727">
        <f t="shared" si="72"/>
        <v>223.69355999999999</v>
      </c>
      <c r="N727">
        <v>42930</v>
      </c>
      <c r="O727">
        <f t="shared" ca="1" si="73"/>
        <v>0.95277777777777783</v>
      </c>
    </row>
    <row r="728" spans="1:15" x14ac:dyDescent="0.2">
      <c r="A728" t="str">
        <f ca="1">IFERROR(__xludf.DUMMYFUNCTION("""COMPUTED_VALUE"""),"km")</f>
        <v>km</v>
      </c>
      <c r="B728" t="str">
        <f ca="1">IFERROR(__xludf.DUMMYFUNCTION("""COMPUTED_VALUE"""),"Model S 70D")</f>
        <v>Model S 70D</v>
      </c>
      <c r="C728">
        <f ca="1">IFERROR(__xludf.DUMMYFUNCTION("""COMPUTED_VALUE"""),360)</f>
        <v>360</v>
      </c>
      <c r="D728">
        <f ca="1">IFERROR(__xludf.DUMMYFUNCTION("""COMPUTED_VALUE"""),38000)</f>
        <v>38000</v>
      </c>
      <c r="E728">
        <f ca="1">IFERROR(__xludf.DUMMYFUNCTION("""COMPUTED_VALUE"""),343)</f>
        <v>343</v>
      </c>
      <c r="F728">
        <v>360</v>
      </c>
      <c r="G728">
        <v>0.95277777777777772</v>
      </c>
      <c r="H728">
        <v>23612</v>
      </c>
      <c r="I728">
        <v>38000</v>
      </c>
      <c r="J728">
        <v>23612</v>
      </c>
      <c r="K728">
        <v>0.97526938031437382</v>
      </c>
      <c r="L728">
        <f t="shared" ca="1" si="71"/>
        <v>213.13025300000001</v>
      </c>
      <c r="M728">
        <f t="shared" si="72"/>
        <v>223.69355999999999</v>
      </c>
      <c r="N728">
        <v>23612</v>
      </c>
      <c r="O728">
        <f t="shared" ca="1" si="73"/>
        <v>0.95277777777777783</v>
      </c>
    </row>
    <row r="729" spans="1:15" x14ac:dyDescent="0.2">
      <c r="A729" t="str">
        <f ca="1">IFERROR(__xludf.DUMMYFUNCTION("""COMPUTED_VALUE"""),"km")</f>
        <v>km</v>
      </c>
      <c r="B729" t="str">
        <f ca="1">IFERROR(__xludf.DUMMYFUNCTION("""COMPUTED_VALUE"""),"Model S P85D")</f>
        <v>Model S P85D</v>
      </c>
      <c r="C729">
        <f ca="1">IFERROR(__xludf.DUMMYFUNCTION("""COMPUTED_VALUE"""),406)</f>
        <v>406</v>
      </c>
      <c r="D729">
        <f ca="1">IFERROR(__xludf.DUMMYFUNCTION("""COMPUTED_VALUE"""),54120)</f>
        <v>54120</v>
      </c>
      <c r="E729">
        <f ca="1">IFERROR(__xludf.DUMMYFUNCTION("""COMPUTED_VALUE"""),384)</f>
        <v>384</v>
      </c>
      <c r="F729">
        <v>403</v>
      </c>
      <c r="G729">
        <v>0.95285359801488834</v>
      </c>
      <c r="H729">
        <v>33629</v>
      </c>
      <c r="I729">
        <v>54120</v>
      </c>
      <c r="J729">
        <v>33629</v>
      </c>
      <c r="K729">
        <v>0.96558675587529308</v>
      </c>
      <c r="L729">
        <f t="shared" ca="1" si="71"/>
        <v>238.60646400000002</v>
      </c>
      <c r="M729">
        <f t="shared" si="72"/>
        <v>250.41251299999999</v>
      </c>
      <c r="N729">
        <v>33629</v>
      </c>
      <c r="O729">
        <f t="shared" ca="1" si="73"/>
        <v>0.95285359801488845</v>
      </c>
    </row>
    <row r="730" spans="1:15" x14ac:dyDescent="0.2">
      <c r="A730" t="str">
        <f ca="1">IFERROR(__xludf.DUMMYFUNCTION("""COMPUTED_VALUE"""),"km")</f>
        <v>km</v>
      </c>
      <c r="B730" t="str">
        <f ca="1">IFERROR(__xludf.DUMMYFUNCTION("""COMPUTED_VALUE"""),"Model S 85D")</f>
        <v>Model S 85D</v>
      </c>
      <c r="C730">
        <f ca="1">IFERROR(__xludf.DUMMYFUNCTION("""COMPUTED_VALUE"""),404)</f>
        <v>404</v>
      </c>
      <c r="D730">
        <f ca="1">IFERROR(__xludf.DUMMYFUNCTION("""COMPUTED_VALUE"""),112809)</f>
        <v>112809</v>
      </c>
      <c r="E730">
        <f ca="1">IFERROR(__xludf.DUMMYFUNCTION("""COMPUTED_VALUE"""),405)</f>
        <v>405</v>
      </c>
      <c r="F730">
        <v>425</v>
      </c>
      <c r="G730">
        <v>0.95294117647058818</v>
      </c>
      <c r="H730">
        <v>70096</v>
      </c>
      <c r="I730">
        <v>112809</v>
      </c>
      <c r="J730">
        <v>70096</v>
      </c>
      <c r="K730">
        <v>0.9345806016135525</v>
      </c>
      <c r="L730">
        <f t="shared" ca="1" si="71"/>
        <v>251.65525500000001</v>
      </c>
      <c r="M730">
        <f t="shared" si="72"/>
        <v>264.08267499999999</v>
      </c>
      <c r="N730">
        <v>70096</v>
      </c>
      <c r="O730">
        <f t="shared" ca="1" si="73"/>
        <v>0.95294117647058829</v>
      </c>
    </row>
    <row r="731" spans="1:15" x14ac:dyDescent="0.2">
      <c r="A731" t="str">
        <f ca="1">IFERROR(__xludf.DUMMYFUNCTION("""COMPUTED_VALUE"""),"km")</f>
        <v>km</v>
      </c>
      <c r="B731" t="str">
        <f ca="1">IFERROR(__xludf.DUMMYFUNCTION("""COMPUTED_VALUE"""),"Model S 85D")</f>
        <v>Model S 85D</v>
      </c>
      <c r="D731">
        <f ca="1">IFERROR(__xludf.DUMMYFUNCTION("""COMPUTED_VALUE"""),39966)</f>
        <v>39966</v>
      </c>
      <c r="E731">
        <f ca="1">IFERROR(__xludf.DUMMYFUNCTION("""COMPUTED_VALUE"""),405)</f>
        <v>405</v>
      </c>
      <c r="F731">
        <v>425</v>
      </c>
      <c r="G731">
        <v>0.95294117647058818</v>
      </c>
      <c r="H731">
        <v>24834</v>
      </c>
      <c r="I731">
        <v>39966</v>
      </c>
      <c r="J731">
        <v>24834</v>
      </c>
      <c r="K731">
        <v>0.97406230974389896</v>
      </c>
      <c r="L731">
        <f t="shared" ca="1" si="71"/>
        <v>251.65525500000001</v>
      </c>
      <c r="M731">
        <f t="shared" si="72"/>
        <v>264.08267499999999</v>
      </c>
      <c r="N731">
        <v>24834</v>
      </c>
      <c r="O731">
        <f t="shared" ca="1" si="73"/>
        <v>0.95294117647058829</v>
      </c>
    </row>
    <row r="732" spans="1:15" x14ac:dyDescent="0.2">
      <c r="A732" t="str">
        <f ca="1">IFERROR(__xludf.DUMMYFUNCTION("""COMPUTED_VALUE"""),"km")</f>
        <v>km</v>
      </c>
      <c r="B732" t="str">
        <f ca="1">IFERROR(__xludf.DUMMYFUNCTION("""COMPUTED_VALUE"""),"Model S 85D")</f>
        <v>Model S 85D</v>
      </c>
      <c r="D732">
        <f ca="1">IFERROR(__xludf.DUMMYFUNCTION("""COMPUTED_VALUE"""),5488)</f>
        <v>5488</v>
      </c>
      <c r="E732">
        <f ca="1">IFERROR(__xludf.DUMMYFUNCTION("""COMPUTED_VALUE"""),405)</f>
        <v>405</v>
      </c>
      <c r="F732">
        <v>425</v>
      </c>
      <c r="G732">
        <v>0.95294117647058818</v>
      </c>
      <c r="H732">
        <v>3410</v>
      </c>
      <c r="I732">
        <v>5488</v>
      </c>
      <c r="J732">
        <v>3410</v>
      </c>
      <c r="K732">
        <v>0.99626607241787646</v>
      </c>
      <c r="L732">
        <f t="shared" ca="1" si="71"/>
        <v>251.65525500000001</v>
      </c>
      <c r="M732">
        <f t="shared" si="72"/>
        <v>264.08267499999999</v>
      </c>
      <c r="N732">
        <v>3410</v>
      </c>
      <c r="O732">
        <f t="shared" ca="1" si="73"/>
        <v>0.95294117647058829</v>
      </c>
    </row>
    <row r="733" spans="1:15" x14ac:dyDescent="0.2">
      <c r="A733" t="str">
        <f ca="1">IFERROR(__xludf.DUMMYFUNCTION("""COMPUTED_VALUE"""),"km")</f>
        <v>km</v>
      </c>
      <c r="B733" t="str">
        <f ca="1">IFERROR(__xludf.DUMMYFUNCTION("""COMPUTED_VALUE"""),"Model S 85D")</f>
        <v>Model S 85D</v>
      </c>
      <c r="D733">
        <f ca="1">IFERROR(__xludf.DUMMYFUNCTION("""COMPUTED_VALUE"""),4700)</f>
        <v>4700</v>
      </c>
      <c r="E733">
        <f ca="1">IFERROR(__xludf.DUMMYFUNCTION("""COMPUTED_VALUE"""),405)</f>
        <v>405</v>
      </c>
      <c r="F733">
        <v>425</v>
      </c>
      <c r="G733">
        <v>0.95294117647058818</v>
      </c>
      <c r="H733">
        <v>2920</v>
      </c>
      <c r="I733">
        <v>4700</v>
      </c>
      <c r="J733">
        <v>2920</v>
      </c>
      <c r="K733">
        <v>0.99679888551596507</v>
      </c>
      <c r="L733">
        <f t="shared" ca="1" si="71"/>
        <v>251.65525500000001</v>
      </c>
      <c r="M733">
        <f t="shared" si="72"/>
        <v>264.08267499999999</v>
      </c>
      <c r="N733">
        <v>2920</v>
      </c>
      <c r="O733">
        <f t="shared" ca="1" si="73"/>
        <v>0.95294117647058829</v>
      </c>
    </row>
    <row r="734" spans="1:15" x14ac:dyDescent="0.2">
      <c r="A734" t="str">
        <f ca="1">IFERROR(__xludf.DUMMYFUNCTION("""COMPUTED_VALUE"""),"mi")</f>
        <v>mi</v>
      </c>
      <c r="B734" t="str">
        <f ca="1">IFERROR(__xludf.DUMMYFUNCTION("""COMPUTED_VALUE"""),"Model X 75D")</f>
        <v>Model X 75D</v>
      </c>
      <c r="D734">
        <f ca="1">IFERROR(__xludf.DUMMYFUNCTION("""COMPUTED_VALUE"""),15500)</f>
        <v>15500</v>
      </c>
      <c r="E734">
        <f ca="1">IFERROR(__xludf.DUMMYFUNCTION("""COMPUTED_VALUE"""),223)</f>
        <v>223</v>
      </c>
      <c r="F734">
        <v>234</v>
      </c>
      <c r="G734">
        <v>0.95299145299145294</v>
      </c>
      <c r="H734">
        <v>15500</v>
      </c>
      <c r="I734">
        <v>24945</v>
      </c>
      <c r="J734">
        <v>15500</v>
      </c>
      <c r="K734">
        <v>0.98346722750334992</v>
      </c>
      <c r="L734">
        <f ca="1">IFERROR(__xludf.DUMMYFUNCTION("""COMPUTED_VALUE"""),223)</f>
        <v>223</v>
      </c>
      <c r="M734">
        <v>234</v>
      </c>
      <c r="N734">
        <v>15500</v>
      </c>
      <c r="O734">
        <f t="shared" ca="1" si="73"/>
        <v>0.95299145299145294</v>
      </c>
    </row>
    <row r="735" spans="1:15" x14ac:dyDescent="0.2">
      <c r="A735" t="str">
        <f ca="1">IFERROR(__xludf.DUMMYFUNCTION("""COMPUTED_VALUE"""),"km")</f>
        <v>km</v>
      </c>
      <c r="B735" t="str">
        <f ca="1">IFERROR(__xludf.DUMMYFUNCTION("""COMPUTED_VALUE"""),"Model S 90D")</f>
        <v>Model S 90D</v>
      </c>
      <c r="C735">
        <f ca="1">IFERROR(__xludf.DUMMYFUNCTION("""COMPUTED_VALUE"""),440)</f>
        <v>440</v>
      </c>
      <c r="D735">
        <f ca="1">IFERROR(__xludf.DUMMYFUNCTION("""COMPUTED_VALUE"""),47414)</f>
        <v>47414</v>
      </c>
      <c r="E735">
        <f ca="1">IFERROR(__xludf.DUMMYFUNCTION("""COMPUTED_VALUE"""),426)</f>
        <v>426</v>
      </c>
      <c r="F735">
        <v>447</v>
      </c>
      <c r="G735">
        <v>0.95302013422818788</v>
      </c>
      <c r="H735">
        <v>29462</v>
      </c>
      <c r="I735">
        <v>47414</v>
      </c>
      <c r="J735">
        <v>29462</v>
      </c>
      <c r="K735">
        <v>0.96955522564063534</v>
      </c>
      <c r="L735">
        <f t="shared" ref="L735:M737" ca="1" si="74">E735*0.621371</f>
        <v>264.70404600000001</v>
      </c>
      <c r="M735">
        <f t="shared" si="74"/>
        <v>277.752837</v>
      </c>
      <c r="N735">
        <v>29462</v>
      </c>
      <c r="O735">
        <f t="shared" ca="1" si="73"/>
        <v>0.95302013422818799</v>
      </c>
    </row>
    <row r="736" spans="1:15" x14ac:dyDescent="0.2">
      <c r="A736" t="str">
        <f ca="1">IFERROR(__xludf.DUMMYFUNCTION("""COMPUTED_VALUE"""),"km")</f>
        <v>km</v>
      </c>
      <c r="B736" t="str">
        <f ca="1">IFERROR(__xludf.DUMMYFUNCTION("""COMPUTED_VALUE"""),"Model S 75D")</f>
        <v>Model S 75D</v>
      </c>
      <c r="C736">
        <f ca="1">IFERROR(__xludf.DUMMYFUNCTION("""COMPUTED_VALUE"""),386)</f>
        <v>386</v>
      </c>
      <c r="D736">
        <f ca="1">IFERROR(__xludf.DUMMYFUNCTION("""COMPUTED_VALUE"""),51689)</f>
        <v>51689</v>
      </c>
      <c r="E736">
        <f ca="1">IFERROR(__xludf.DUMMYFUNCTION("""COMPUTED_VALUE"""),366)</f>
        <v>366</v>
      </c>
      <c r="F736">
        <v>384</v>
      </c>
      <c r="G736">
        <v>0.953125</v>
      </c>
      <c r="H736">
        <v>32118</v>
      </c>
      <c r="I736">
        <v>51689</v>
      </c>
      <c r="J736">
        <v>32118</v>
      </c>
      <c r="K736">
        <v>0.96701551654215645</v>
      </c>
      <c r="L736">
        <f t="shared" ca="1" si="74"/>
        <v>227.421786</v>
      </c>
      <c r="M736">
        <f t="shared" si="74"/>
        <v>238.60646400000002</v>
      </c>
      <c r="N736">
        <v>32118</v>
      </c>
      <c r="O736">
        <f t="shared" ca="1" si="73"/>
        <v>0.95312499999999989</v>
      </c>
    </row>
    <row r="737" spans="1:15" x14ac:dyDescent="0.2">
      <c r="A737" t="str">
        <f ca="1">IFERROR(__xludf.DUMMYFUNCTION("""COMPUTED_VALUE"""),"km")</f>
        <v>km</v>
      </c>
      <c r="B737" t="str">
        <f ca="1">IFERROR(__xludf.DUMMYFUNCTION("""COMPUTED_VALUE"""),"Model S P85")</f>
        <v>Model S P85</v>
      </c>
      <c r="C737">
        <f ca="1">IFERROR(__xludf.DUMMYFUNCTION("""COMPUTED_VALUE"""),430)</f>
        <v>430</v>
      </c>
      <c r="D737">
        <f ca="1">IFERROR(__xludf.DUMMYFUNCTION("""COMPUTED_VALUE"""),15425)</f>
        <v>15425</v>
      </c>
      <c r="E737">
        <f ca="1">IFERROR(__xludf.DUMMYFUNCTION("""COMPUTED_VALUE"""),408)</f>
        <v>408</v>
      </c>
      <c r="F737">
        <v>428</v>
      </c>
      <c r="G737">
        <v>0.95327102803738317</v>
      </c>
      <c r="H737">
        <v>9585</v>
      </c>
      <c r="I737">
        <v>15425</v>
      </c>
      <c r="J737">
        <v>9585</v>
      </c>
      <c r="K737">
        <v>0.98964337084533405</v>
      </c>
      <c r="L737">
        <f t="shared" ca="1" si="74"/>
        <v>253.51936800000001</v>
      </c>
      <c r="M737">
        <f t="shared" si="74"/>
        <v>265.94678800000003</v>
      </c>
      <c r="N737">
        <v>9585</v>
      </c>
      <c r="O737">
        <f t="shared" ca="1" si="73"/>
        <v>0.95327102803738317</v>
      </c>
    </row>
    <row r="738" spans="1:15" x14ac:dyDescent="0.2">
      <c r="A738" t="str">
        <f ca="1">IFERROR(__xludf.DUMMYFUNCTION("""COMPUTED_VALUE"""),"mi")</f>
        <v>mi</v>
      </c>
      <c r="B738" t="str">
        <f ca="1">IFERROR(__xludf.DUMMYFUNCTION("""COMPUTED_VALUE"""),"Model S 75D")</f>
        <v>Model S 75D</v>
      </c>
      <c r="D738">
        <f ca="1">IFERROR(__xludf.DUMMYFUNCTION("""COMPUTED_VALUE"""),11668)</f>
        <v>11668</v>
      </c>
      <c r="E738">
        <f ca="1">IFERROR(__xludf.DUMMYFUNCTION("""COMPUTED_VALUE"""),247)</f>
        <v>247</v>
      </c>
      <c r="F738">
        <v>259</v>
      </c>
      <c r="G738">
        <v>0.95366795366795365</v>
      </c>
      <c r="H738">
        <v>11668</v>
      </c>
      <c r="I738">
        <v>18778</v>
      </c>
      <c r="J738">
        <v>11668</v>
      </c>
      <c r="K738">
        <v>0.98744917609424521</v>
      </c>
      <c r="L738">
        <f ca="1">IFERROR(__xludf.DUMMYFUNCTION("""COMPUTED_VALUE"""),247)</f>
        <v>247</v>
      </c>
      <c r="M738">
        <v>259</v>
      </c>
      <c r="N738">
        <v>11668</v>
      </c>
      <c r="O738">
        <f t="shared" ca="1" si="73"/>
        <v>0.95366795366795365</v>
      </c>
    </row>
    <row r="739" spans="1:15" x14ac:dyDescent="0.2">
      <c r="A739" t="str">
        <f ca="1">IFERROR(__xludf.DUMMYFUNCTION("""COMPUTED_VALUE"""),"mi")</f>
        <v>mi</v>
      </c>
      <c r="B739" t="str">
        <f ca="1">IFERROR(__xludf.DUMMYFUNCTION("""COMPUTED_VALUE"""),"Model 3 LR")</f>
        <v>Model 3 LR</v>
      </c>
      <c r="C739">
        <f ca="1">IFERROR(__xludf.DUMMYFUNCTION("""COMPUTED_VALUE"""),310)</f>
        <v>310</v>
      </c>
      <c r="D739">
        <f ca="1">IFERROR(__xludf.DUMMYFUNCTION("""COMPUTED_VALUE"""),11900)</f>
        <v>11900</v>
      </c>
      <c r="E739">
        <f ca="1">IFERROR(__xludf.DUMMYFUNCTION("""COMPUTED_VALUE"""),310)</f>
        <v>310</v>
      </c>
      <c r="F739">
        <v>325</v>
      </c>
      <c r="G739">
        <v>0.9538461538461539</v>
      </c>
      <c r="H739">
        <v>11900</v>
      </c>
      <c r="I739">
        <v>19151</v>
      </c>
      <c r="J739">
        <v>11900</v>
      </c>
      <c r="K739">
        <v>0.98720635473890628</v>
      </c>
      <c r="L739">
        <f ca="1">IFERROR(__xludf.DUMMYFUNCTION("""COMPUTED_VALUE"""),310)</f>
        <v>310</v>
      </c>
      <c r="M739">
        <v>325</v>
      </c>
      <c r="N739">
        <v>11900</v>
      </c>
      <c r="O739">
        <f t="shared" ca="1" si="73"/>
        <v>0.9538461538461539</v>
      </c>
    </row>
    <row r="740" spans="1:15" x14ac:dyDescent="0.2">
      <c r="A740" t="str">
        <f ca="1">IFERROR(__xludf.DUMMYFUNCTION("""COMPUTED_VALUE"""),"mi")</f>
        <v>mi</v>
      </c>
      <c r="B740" t="str">
        <f ca="1">IFERROR(__xludf.DUMMYFUNCTION("""COMPUTED_VALUE"""),"Model 3 LR")</f>
        <v>Model 3 LR</v>
      </c>
      <c r="C740">
        <f ca="1">IFERROR(__xludf.DUMMYFUNCTION("""COMPUTED_VALUE"""),310)</f>
        <v>310</v>
      </c>
      <c r="D740">
        <f ca="1">IFERROR(__xludf.DUMMYFUNCTION("""COMPUTED_VALUE"""),25100)</f>
        <v>25100</v>
      </c>
      <c r="E740">
        <f ca="1">IFERROR(__xludf.DUMMYFUNCTION("""COMPUTED_VALUE"""),310)</f>
        <v>310</v>
      </c>
      <c r="F740">
        <v>325</v>
      </c>
      <c r="G740">
        <v>0.9538461538461539</v>
      </c>
      <c r="H740">
        <v>25100</v>
      </c>
      <c r="I740">
        <v>40395</v>
      </c>
      <c r="J740">
        <v>25100</v>
      </c>
      <c r="K740">
        <v>0.9737998768474847</v>
      </c>
      <c r="L740">
        <f ca="1">IFERROR(__xludf.DUMMYFUNCTION("""COMPUTED_VALUE"""),310)</f>
        <v>310</v>
      </c>
      <c r="M740">
        <v>325</v>
      </c>
      <c r="N740">
        <v>25100</v>
      </c>
      <c r="O740">
        <f t="shared" ca="1" si="73"/>
        <v>0.9538461538461539</v>
      </c>
    </row>
    <row r="741" spans="1:15" x14ac:dyDescent="0.2">
      <c r="A741" t="str">
        <f ca="1">IFERROR(__xludf.DUMMYFUNCTION("""COMPUTED_VALUE"""),"km")</f>
        <v>km</v>
      </c>
      <c r="B741" t="str">
        <f ca="1">IFERROR(__xludf.DUMMYFUNCTION("""COMPUTED_VALUE"""),"Model 3 LR AWD")</f>
        <v>Model 3 LR AWD</v>
      </c>
      <c r="C741">
        <f ca="1">IFERROR(__xludf.DUMMYFUNCTION("""COMPUTED_VALUE"""),499)</f>
        <v>499</v>
      </c>
      <c r="D741">
        <f ca="1">IFERROR(__xludf.DUMMYFUNCTION("""COMPUTED_VALUE"""),19000)</f>
        <v>19000</v>
      </c>
      <c r="E741">
        <f ca="1">IFERROR(__xludf.DUMMYFUNCTION("""COMPUTED_VALUE"""),476)</f>
        <v>476</v>
      </c>
      <c r="F741">
        <v>499</v>
      </c>
      <c r="G741">
        <v>0.95390781563126248</v>
      </c>
      <c r="H741">
        <v>11806</v>
      </c>
      <c r="I741">
        <v>19000</v>
      </c>
      <c r="J741">
        <v>11806</v>
      </c>
      <c r="K741">
        <v>0.98730462442563383</v>
      </c>
      <c r="L741">
        <f t="shared" ref="L741:M744" ca="1" si="75">E741*0.621371</f>
        <v>295.77259600000002</v>
      </c>
      <c r="M741">
        <f t="shared" si="75"/>
        <v>310.06412899999998</v>
      </c>
      <c r="N741">
        <v>11806</v>
      </c>
      <c r="O741">
        <f t="shared" ca="1" si="73"/>
        <v>0.9539078156312627</v>
      </c>
    </row>
    <row r="742" spans="1:15" x14ac:dyDescent="0.2">
      <c r="A742" t="str">
        <f ca="1">IFERROR(__xludf.DUMMYFUNCTION("""COMPUTED_VALUE"""),"km")</f>
        <v>km</v>
      </c>
      <c r="B742" t="str">
        <f ca="1">IFERROR(__xludf.DUMMYFUNCTION("""COMPUTED_VALUE"""),"Model 3 LR AWD")</f>
        <v>Model 3 LR AWD</v>
      </c>
      <c r="C742">
        <f ca="1">IFERROR(__xludf.DUMMYFUNCTION("""COMPUTED_VALUE"""),499)</f>
        <v>499</v>
      </c>
      <c r="D742">
        <f ca="1">IFERROR(__xludf.DUMMYFUNCTION("""COMPUTED_VALUE"""),16000)</f>
        <v>16000</v>
      </c>
      <c r="E742">
        <f ca="1">IFERROR(__xludf.DUMMYFUNCTION("""COMPUTED_VALUE"""),476)</f>
        <v>476</v>
      </c>
      <c r="F742">
        <v>499</v>
      </c>
      <c r="G742">
        <v>0.95390781563126248</v>
      </c>
      <c r="H742">
        <v>9942</v>
      </c>
      <c r="I742">
        <v>16000</v>
      </c>
      <c r="J742">
        <v>9942</v>
      </c>
      <c r="K742">
        <v>0.98926563562983649</v>
      </c>
      <c r="L742">
        <f t="shared" ca="1" si="75"/>
        <v>295.77259600000002</v>
      </c>
      <c r="M742">
        <f t="shared" si="75"/>
        <v>310.06412899999998</v>
      </c>
      <c r="N742">
        <v>9942</v>
      </c>
      <c r="O742">
        <f t="shared" ca="1" si="73"/>
        <v>0.9539078156312627</v>
      </c>
    </row>
    <row r="743" spans="1:15" x14ac:dyDescent="0.2">
      <c r="A743" t="str">
        <f ca="1">IFERROR(__xludf.DUMMYFUNCTION("""COMPUTED_VALUE"""),"km")</f>
        <v>km</v>
      </c>
      <c r="B743" t="str">
        <f ca="1">IFERROR(__xludf.DUMMYFUNCTION("""COMPUTED_VALUE"""),"Model 3 LR AWD")</f>
        <v>Model 3 LR AWD</v>
      </c>
      <c r="C743">
        <f ca="1">IFERROR(__xludf.DUMMYFUNCTION("""COMPUTED_VALUE"""),480)</f>
        <v>480</v>
      </c>
      <c r="D743">
        <f ca="1">IFERROR(__xludf.DUMMYFUNCTION("""COMPUTED_VALUE"""),29646)</f>
        <v>29646</v>
      </c>
      <c r="E743">
        <f ca="1">IFERROR(__xludf.DUMMYFUNCTION("""COMPUTED_VALUE"""),476)</f>
        <v>476</v>
      </c>
      <c r="F743">
        <v>499</v>
      </c>
      <c r="G743">
        <v>0.95390781563126248</v>
      </c>
      <c r="H743">
        <v>18421</v>
      </c>
      <c r="I743">
        <v>29646</v>
      </c>
      <c r="J743">
        <v>18421</v>
      </c>
      <c r="K743">
        <v>0.98047885640668864</v>
      </c>
      <c r="L743">
        <f t="shared" ca="1" si="75"/>
        <v>295.77259600000002</v>
      </c>
      <c r="M743">
        <f t="shared" si="75"/>
        <v>310.06412899999998</v>
      </c>
      <c r="N743">
        <v>18421</v>
      </c>
      <c r="O743">
        <f t="shared" ca="1" si="73"/>
        <v>0.9539078156312627</v>
      </c>
    </row>
    <row r="744" spans="1:15" x14ac:dyDescent="0.2">
      <c r="A744" t="str">
        <f ca="1">IFERROR(__xludf.DUMMYFUNCTION("""COMPUTED_VALUE"""),"km")</f>
        <v>km</v>
      </c>
      <c r="B744" t="str">
        <f ca="1">IFERROR(__xludf.DUMMYFUNCTION("""COMPUTED_VALUE"""),"Model S 85D")</f>
        <v>Model S 85D</v>
      </c>
      <c r="C744">
        <f ca="1">IFERROR(__xludf.DUMMYFUNCTION("""COMPUTED_VALUE"""),425)</f>
        <v>425</v>
      </c>
      <c r="D744">
        <f ca="1">IFERROR(__xludf.DUMMYFUNCTION("""COMPUTED_VALUE"""),24027)</f>
        <v>24027</v>
      </c>
      <c r="E744">
        <f ca="1">IFERROR(__xludf.DUMMYFUNCTION("""COMPUTED_VALUE"""),415)</f>
        <v>415</v>
      </c>
      <c r="F744">
        <v>435</v>
      </c>
      <c r="G744">
        <v>0.95402298850574707</v>
      </c>
      <c r="H744">
        <v>14930</v>
      </c>
      <c r="I744">
        <v>24027</v>
      </c>
      <c r="J744">
        <v>14930</v>
      </c>
      <c r="K744">
        <v>0.98405554423317598</v>
      </c>
      <c r="L744">
        <f t="shared" ca="1" si="75"/>
        <v>257.868965</v>
      </c>
      <c r="M744">
        <f t="shared" si="75"/>
        <v>270.29638499999999</v>
      </c>
      <c r="N744">
        <v>14930</v>
      </c>
      <c r="O744">
        <f t="shared" ca="1" si="73"/>
        <v>0.95402298850574718</v>
      </c>
    </row>
    <row r="745" spans="1:15" x14ac:dyDescent="0.2">
      <c r="A745" t="str">
        <f ca="1">IFERROR(__xludf.DUMMYFUNCTION("""COMPUTED_VALUE"""),"mi")</f>
        <v>mi</v>
      </c>
      <c r="B745" t="str">
        <f ca="1">IFERROR(__xludf.DUMMYFUNCTION("""COMPUTED_VALUE"""),"Model 3 SR+")</f>
        <v>Model 3 SR+</v>
      </c>
      <c r="C745">
        <f ca="1">IFERROR(__xludf.DUMMYFUNCTION("""COMPUTED_VALUE"""),236)</f>
        <v>236</v>
      </c>
      <c r="D745">
        <f ca="1">IFERROR(__xludf.DUMMYFUNCTION("""COMPUTED_VALUE"""),12009)</f>
        <v>12009</v>
      </c>
      <c r="E745">
        <f ca="1">IFERROR(__xludf.DUMMYFUNCTION("""COMPUTED_VALUE"""),229)</f>
        <v>229</v>
      </c>
      <c r="F745">
        <v>240</v>
      </c>
      <c r="G745">
        <v>0.95416666666666672</v>
      </c>
      <c r="H745">
        <v>12009</v>
      </c>
      <c r="I745">
        <v>19327</v>
      </c>
      <c r="J745">
        <v>12009</v>
      </c>
      <c r="K745">
        <v>0.98709186786431535</v>
      </c>
      <c r="L745">
        <f ca="1">IFERROR(__xludf.DUMMYFUNCTION("""COMPUTED_VALUE"""),229)</f>
        <v>229</v>
      </c>
      <c r="M745">
        <v>240</v>
      </c>
      <c r="N745">
        <v>12009</v>
      </c>
      <c r="O745">
        <f t="shared" ca="1" si="73"/>
        <v>0.95416666666666672</v>
      </c>
    </row>
    <row r="746" spans="1:15" x14ac:dyDescent="0.2">
      <c r="A746" t="str">
        <f ca="1">IFERROR(__xludf.DUMMYFUNCTION("""COMPUTED_VALUE"""),"km")</f>
        <v>km</v>
      </c>
      <c r="B746" t="str">
        <f ca="1">IFERROR(__xludf.DUMMYFUNCTION("""COMPUTED_VALUE"""),"Model S 85")</f>
        <v>Model S 85</v>
      </c>
      <c r="C746">
        <f ca="1">IFERROR(__xludf.DUMMYFUNCTION("""COMPUTED_VALUE"""),404)</f>
        <v>404</v>
      </c>
      <c r="D746">
        <f ca="1">IFERROR(__xludf.DUMMYFUNCTION("""COMPUTED_VALUE"""),90850)</f>
        <v>90850</v>
      </c>
      <c r="E746">
        <f ca="1">IFERROR(__xludf.DUMMYFUNCTION("""COMPUTED_VALUE"""),377)</f>
        <v>377</v>
      </c>
      <c r="F746">
        <v>395</v>
      </c>
      <c r="G746">
        <v>0.95443037974683542</v>
      </c>
      <c r="H746">
        <v>56452</v>
      </c>
      <c r="I746">
        <v>90850</v>
      </c>
      <c r="J746">
        <v>56452</v>
      </c>
      <c r="K746">
        <v>0.94538612264991262</v>
      </c>
      <c r="L746">
        <f t="shared" ref="L746:L779" ca="1" si="76">E746*0.621371</f>
        <v>234.256867</v>
      </c>
      <c r="M746">
        <f t="shared" ref="M746:M779" si="77">F746*0.621371</f>
        <v>245.44154499999999</v>
      </c>
      <c r="N746">
        <v>56452</v>
      </c>
      <c r="O746">
        <f t="shared" ca="1" si="73"/>
        <v>0.95443037974683553</v>
      </c>
    </row>
    <row r="747" spans="1:15" x14ac:dyDescent="0.2">
      <c r="A747" t="str">
        <f ca="1">IFERROR(__xludf.DUMMYFUNCTION("""COMPUTED_VALUE"""),"km")</f>
        <v>km</v>
      </c>
      <c r="B747" t="str">
        <f ca="1">IFERROR(__xludf.DUMMYFUNCTION("""COMPUTED_VALUE"""),"Model S 85")</f>
        <v>Model S 85</v>
      </c>
      <c r="D747">
        <f ca="1">IFERROR(__xludf.DUMMYFUNCTION("""COMPUTED_VALUE"""),42419)</f>
        <v>42419</v>
      </c>
      <c r="E747">
        <f ca="1">IFERROR(__xludf.DUMMYFUNCTION("""COMPUTED_VALUE"""),377)</f>
        <v>377</v>
      </c>
      <c r="F747">
        <v>395</v>
      </c>
      <c r="G747">
        <v>0.95443037974683542</v>
      </c>
      <c r="H747">
        <v>26358</v>
      </c>
      <c r="I747">
        <v>42419</v>
      </c>
      <c r="J747">
        <v>26358</v>
      </c>
      <c r="K747">
        <v>0.9725663855734048</v>
      </c>
      <c r="L747">
        <f t="shared" ca="1" si="76"/>
        <v>234.256867</v>
      </c>
      <c r="M747">
        <f t="shared" si="77"/>
        <v>245.44154499999999</v>
      </c>
      <c r="N747">
        <v>26358</v>
      </c>
      <c r="O747">
        <f t="shared" ca="1" si="73"/>
        <v>0.95443037974683553</v>
      </c>
    </row>
    <row r="748" spans="1:15" x14ac:dyDescent="0.2">
      <c r="A748" t="str">
        <f ca="1">IFERROR(__xludf.DUMMYFUNCTION("""COMPUTED_VALUE"""),"km")</f>
        <v>km</v>
      </c>
      <c r="B748" t="str">
        <f ca="1">IFERROR(__xludf.DUMMYFUNCTION("""COMPUTED_VALUE"""),"Model S P85")</f>
        <v>Model S P85</v>
      </c>
      <c r="D748">
        <f ca="1">IFERROR(__xludf.DUMMYFUNCTION("""COMPUTED_VALUE"""),72849)</f>
        <v>72849</v>
      </c>
      <c r="E748">
        <f ca="1">IFERROR(__xludf.DUMMYFUNCTION("""COMPUTED_VALUE"""),377)</f>
        <v>377</v>
      </c>
      <c r="F748">
        <v>395</v>
      </c>
      <c r="G748">
        <v>0.95443037974683542</v>
      </c>
      <c r="H748">
        <v>45266</v>
      </c>
      <c r="I748">
        <v>72849</v>
      </c>
      <c r="J748">
        <v>45266</v>
      </c>
      <c r="K748">
        <v>0.95495865461361318</v>
      </c>
      <c r="L748">
        <f t="shared" ca="1" si="76"/>
        <v>234.256867</v>
      </c>
      <c r="M748">
        <f t="shared" si="77"/>
        <v>245.44154499999999</v>
      </c>
      <c r="N748">
        <v>45266</v>
      </c>
      <c r="O748">
        <f t="shared" ca="1" si="73"/>
        <v>0.95443037974683553</v>
      </c>
    </row>
    <row r="749" spans="1:15" x14ac:dyDescent="0.2">
      <c r="A749" t="str">
        <f ca="1">IFERROR(__xludf.DUMMYFUNCTION("""COMPUTED_VALUE"""),"km")</f>
        <v>km</v>
      </c>
      <c r="B749" t="str">
        <f ca="1">IFERROR(__xludf.DUMMYFUNCTION("""COMPUTED_VALUE"""),"Model S 85")</f>
        <v>Model S 85</v>
      </c>
      <c r="D749">
        <f ca="1">IFERROR(__xludf.DUMMYFUNCTION("""COMPUTED_VALUE"""),110360)</f>
        <v>110360</v>
      </c>
      <c r="E749">
        <f ca="1">IFERROR(__xludf.DUMMYFUNCTION("""COMPUTED_VALUE"""),377)</f>
        <v>377</v>
      </c>
      <c r="F749">
        <v>395</v>
      </c>
      <c r="G749">
        <v>0.95443037974683542</v>
      </c>
      <c r="H749">
        <v>68575</v>
      </c>
      <c r="I749">
        <v>110360</v>
      </c>
      <c r="J749">
        <v>68575</v>
      </c>
      <c r="K749">
        <v>0.93573755114307899</v>
      </c>
      <c r="L749">
        <f t="shared" ca="1" si="76"/>
        <v>234.256867</v>
      </c>
      <c r="M749">
        <f t="shared" si="77"/>
        <v>245.44154499999999</v>
      </c>
      <c r="N749">
        <v>68575</v>
      </c>
      <c r="O749">
        <f t="shared" ca="1" si="73"/>
        <v>0.95443037974683553</v>
      </c>
    </row>
    <row r="750" spans="1:15" x14ac:dyDescent="0.2">
      <c r="A750" t="str">
        <f ca="1">IFERROR(__xludf.DUMMYFUNCTION("""COMPUTED_VALUE"""),"km")</f>
        <v>km</v>
      </c>
      <c r="B750" t="str">
        <f ca="1">IFERROR(__xludf.DUMMYFUNCTION("""COMPUTED_VALUE"""),"Model S 85")</f>
        <v>Model S 85</v>
      </c>
      <c r="D750">
        <f ca="1">IFERROR(__xludf.DUMMYFUNCTION("""COMPUTED_VALUE"""),134709)</f>
        <v>134709</v>
      </c>
      <c r="E750">
        <f ca="1">IFERROR(__xludf.DUMMYFUNCTION("""COMPUTED_VALUE"""),377)</f>
        <v>377</v>
      </c>
      <c r="F750">
        <v>395</v>
      </c>
      <c r="G750">
        <v>0.95443037974683542</v>
      </c>
      <c r="H750">
        <v>83704</v>
      </c>
      <c r="I750">
        <v>134709</v>
      </c>
      <c r="J750">
        <v>83704</v>
      </c>
      <c r="K750">
        <v>0.92478100434868282</v>
      </c>
      <c r="L750">
        <f t="shared" ca="1" si="76"/>
        <v>234.256867</v>
      </c>
      <c r="M750">
        <f t="shared" si="77"/>
        <v>245.44154499999999</v>
      </c>
      <c r="N750">
        <v>83704</v>
      </c>
      <c r="O750">
        <f t="shared" ca="1" si="73"/>
        <v>0.95443037974683553</v>
      </c>
    </row>
    <row r="751" spans="1:15" x14ac:dyDescent="0.2">
      <c r="A751" t="str">
        <f ca="1">IFERROR(__xludf.DUMMYFUNCTION("""COMPUTED_VALUE"""),"km")</f>
        <v>km</v>
      </c>
      <c r="B751" t="str">
        <f ca="1">IFERROR(__xludf.DUMMYFUNCTION("""COMPUTED_VALUE"""),"Model S P85+")</f>
        <v>Model S P85+</v>
      </c>
      <c r="D751">
        <f ca="1">IFERROR(__xludf.DUMMYFUNCTION("""COMPUTED_VALUE"""),54757)</f>
        <v>54757</v>
      </c>
      <c r="E751">
        <f ca="1">IFERROR(__xludf.DUMMYFUNCTION("""COMPUTED_VALUE"""),377)</f>
        <v>377</v>
      </c>
      <c r="F751">
        <v>395</v>
      </c>
      <c r="G751">
        <v>0.95443037974683542</v>
      </c>
      <c r="H751">
        <v>34024</v>
      </c>
      <c r="I751">
        <v>54757</v>
      </c>
      <c r="J751">
        <v>34024</v>
      </c>
      <c r="K751">
        <v>0.9652142329403377</v>
      </c>
      <c r="L751">
        <f t="shared" ca="1" si="76"/>
        <v>234.256867</v>
      </c>
      <c r="M751">
        <f t="shared" si="77"/>
        <v>245.44154499999999</v>
      </c>
      <c r="N751">
        <v>34024</v>
      </c>
      <c r="O751">
        <f t="shared" ca="1" si="73"/>
        <v>0.95443037974683553</v>
      </c>
    </row>
    <row r="752" spans="1:15" x14ac:dyDescent="0.2">
      <c r="A752" t="str">
        <f ca="1">IFERROR(__xludf.DUMMYFUNCTION("""COMPUTED_VALUE"""),"km")</f>
        <v>km</v>
      </c>
      <c r="B752" t="str">
        <f ca="1">IFERROR(__xludf.DUMMYFUNCTION("""COMPUTED_VALUE"""),"Model S 85")</f>
        <v>Model S 85</v>
      </c>
      <c r="D752">
        <f ca="1">IFERROR(__xludf.DUMMYFUNCTION("""COMPUTED_VALUE"""),56157)</f>
        <v>56157</v>
      </c>
      <c r="E752">
        <f ca="1">IFERROR(__xludf.DUMMYFUNCTION("""COMPUTED_VALUE"""),377)</f>
        <v>377</v>
      </c>
      <c r="F752">
        <v>395</v>
      </c>
      <c r="G752">
        <v>0.95443037974683542</v>
      </c>
      <c r="H752">
        <v>34894</v>
      </c>
      <c r="I752">
        <v>56157</v>
      </c>
      <c r="J752">
        <v>34894</v>
      </c>
      <c r="K752">
        <v>0.96439821735142328</v>
      </c>
      <c r="L752">
        <f t="shared" ca="1" si="76"/>
        <v>234.256867</v>
      </c>
      <c r="M752">
        <f t="shared" si="77"/>
        <v>245.44154499999999</v>
      </c>
      <c r="N752">
        <v>34894</v>
      </c>
      <c r="O752">
        <f t="shared" ca="1" si="73"/>
        <v>0.95443037974683553</v>
      </c>
    </row>
    <row r="753" spans="1:15" x14ac:dyDescent="0.2">
      <c r="A753" t="str">
        <f ca="1">IFERROR(__xludf.DUMMYFUNCTION("""COMPUTED_VALUE"""),"km")</f>
        <v>km</v>
      </c>
      <c r="B753" t="str">
        <f ca="1">IFERROR(__xludf.DUMMYFUNCTION("""COMPUTED_VALUE"""),"Model S 85")</f>
        <v>Model S 85</v>
      </c>
      <c r="D753">
        <f ca="1">IFERROR(__xludf.DUMMYFUNCTION("""COMPUTED_VALUE"""),83021)</f>
        <v>83021</v>
      </c>
      <c r="E753">
        <f ca="1">IFERROR(__xludf.DUMMYFUNCTION("""COMPUTED_VALUE"""),377)</f>
        <v>377</v>
      </c>
      <c r="F753">
        <v>395</v>
      </c>
      <c r="G753">
        <v>0.95443037974683542</v>
      </c>
      <c r="H753">
        <v>51587</v>
      </c>
      <c r="I753">
        <v>83021</v>
      </c>
      <c r="J753">
        <v>51587</v>
      </c>
      <c r="K753">
        <v>0.94947118074722847</v>
      </c>
      <c r="L753">
        <f t="shared" ca="1" si="76"/>
        <v>234.256867</v>
      </c>
      <c r="M753">
        <f t="shared" si="77"/>
        <v>245.44154499999999</v>
      </c>
      <c r="N753">
        <v>51587</v>
      </c>
      <c r="O753">
        <f t="shared" ca="1" si="73"/>
        <v>0.95443037974683553</v>
      </c>
    </row>
    <row r="754" spans="1:15" x14ac:dyDescent="0.2">
      <c r="A754" t="str">
        <f ca="1">IFERROR(__xludf.DUMMYFUNCTION("""COMPUTED_VALUE"""),"km")</f>
        <v>km</v>
      </c>
      <c r="B754" t="str">
        <f ca="1">IFERROR(__xludf.DUMMYFUNCTION("""COMPUTED_VALUE"""),"Model S 85")</f>
        <v>Model S 85</v>
      </c>
      <c r="D754">
        <f ca="1">IFERROR(__xludf.DUMMYFUNCTION("""COMPUTED_VALUE"""),83000)</f>
        <v>83000</v>
      </c>
      <c r="E754">
        <f ca="1">IFERROR(__xludf.DUMMYFUNCTION("""COMPUTED_VALUE"""),377)</f>
        <v>377</v>
      </c>
      <c r="F754">
        <v>395</v>
      </c>
      <c r="G754">
        <v>0.95443037974683542</v>
      </c>
      <c r="H754">
        <v>51574</v>
      </c>
      <c r="I754">
        <v>83000</v>
      </c>
      <c r="J754">
        <v>51574</v>
      </c>
      <c r="K754">
        <v>0.9494823008021489</v>
      </c>
      <c r="L754">
        <f t="shared" ca="1" si="76"/>
        <v>234.256867</v>
      </c>
      <c r="M754">
        <f t="shared" si="77"/>
        <v>245.44154499999999</v>
      </c>
      <c r="N754">
        <v>51574</v>
      </c>
      <c r="O754">
        <f t="shared" ca="1" si="73"/>
        <v>0.95443037974683553</v>
      </c>
    </row>
    <row r="755" spans="1:15" x14ac:dyDescent="0.2">
      <c r="A755" t="str">
        <f ca="1">IFERROR(__xludf.DUMMYFUNCTION("""COMPUTED_VALUE"""),"km")</f>
        <v>km</v>
      </c>
      <c r="B755" t="str">
        <f ca="1">IFERROR(__xludf.DUMMYFUNCTION("""COMPUTED_VALUE"""),"Model S 85")</f>
        <v>Model S 85</v>
      </c>
      <c r="D755">
        <f ca="1">IFERROR(__xludf.DUMMYFUNCTION("""COMPUTED_VALUE"""),145160)</f>
        <v>145160</v>
      </c>
      <c r="E755">
        <f ca="1">IFERROR(__xludf.DUMMYFUNCTION("""COMPUTED_VALUE"""),377)</f>
        <v>377</v>
      </c>
      <c r="F755">
        <v>395</v>
      </c>
      <c r="G755">
        <v>0.95443037974683542</v>
      </c>
      <c r="H755">
        <v>90198</v>
      </c>
      <c r="I755">
        <v>145160</v>
      </c>
      <c r="J755">
        <v>90198</v>
      </c>
      <c r="K755">
        <v>0.92045549193509912</v>
      </c>
      <c r="L755">
        <f t="shared" ca="1" si="76"/>
        <v>234.256867</v>
      </c>
      <c r="M755">
        <f t="shared" si="77"/>
        <v>245.44154499999999</v>
      </c>
      <c r="N755">
        <v>90198</v>
      </c>
      <c r="O755">
        <f t="shared" ca="1" si="73"/>
        <v>0.95443037974683553</v>
      </c>
    </row>
    <row r="756" spans="1:15" x14ac:dyDescent="0.2">
      <c r="A756" t="str">
        <f ca="1">IFERROR(__xludf.DUMMYFUNCTION("""COMPUTED_VALUE"""),"km")</f>
        <v>km</v>
      </c>
      <c r="B756" t="str">
        <f ca="1">IFERROR(__xludf.DUMMYFUNCTION("""COMPUTED_VALUE"""),"Model S 85")</f>
        <v>Model S 85</v>
      </c>
      <c r="D756">
        <f ca="1">IFERROR(__xludf.DUMMYFUNCTION("""COMPUTED_VALUE"""),77430)</f>
        <v>77430</v>
      </c>
      <c r="E756">
        <f ca="1">IFERROR(__xludf.DUMMYFUNCTION("""COMPUTED_VALUE"""),377)</f>
        <v>377</v>
      </c>
      <c r="F756">
        <v>395</v>
      </c>
      <c r="G756">
        <v>0.95443037974683542</v>
      </c>
      <c r="H756">
        <v>48113</v>
      </c>
      <c r="I756">
        <v>77430</v>
      </c>
      <c r="J756">
        <v>48113</v>
      </c>
      <c r="K756">
        <v>0.95246231683662219</v>
      </c>
      <c r="L756">
        <f t="shared" ca="1" si="76"/>
        <v>234.256867</v>
      </c>
      <c r="M756">
        <f t="shared" si="77"/>
        <v>245.44154499999999</v>
      </c>
      <c r="N756">
        <v>48113</v>
      </c>
      <c r="O756">
        <f t="shared" ca="1" si="73"/>
        <v>0.95443037974683553</v>
      </c>
    </row>
    <row r="757" spans="1:15" x14ac:dyDescent="0.2">
      <c r="A757" t="str">
        <f ca="1">IFERROR(__xludf.DUMMYFUNCTION("""COMPUTED_VALUE"""),"km")</f>
        <v>km</v>
      </c>
      <c r="B757" t="str">
        <f ca="1">IFERROR(__xludf.DUMMYFUNCTION("""COMPUTED_VALUE"""),"Model S 85")</f>
        <v>Model S 85</v>
      </c>
      <c r="C757">
        <f ca="1">IFERROR(__xludf.DUMMYFUNCTION("""COMPUTED_VALUE"""),398)</f>
        <v>398</v>
      </c>
      <c r="D757">
        <f ca="1">IFERROR(__xludf.DUMMYFUNCTION("""COMPUTED_VALUE"""),112000)</f>
        <v>112000</v>
      </c>
      <c r="E757">
        <f ca="1">IFERROR(__xludf.DUMMYFUNCTION("""COMPUTED_VALUE"""),377)</f>
        <v>377</v>
      </c>
      <c r="F757">
        <v>395</v>
      </c>
      <c r="G757">
        <v>0.95443037974683542</v>
      </c>
      <c r="H757">
        <v>69594</v>
      </c>
      <c r="I757">
        <v>112000</v>
      </c>
      <c r="J757">
        <v>69594</v>
      </c>
      <c r="K757">
        <v>0.93496143938197029</v>
      </c>
      <c r="L757">
        <f t="shared" ca="1" si="76"/>
        <v>234.256867</v>
      </c>
      <c r="M757">
        <f t="shared" si="77"/>
        <v>245.44154499999999</v>
      </c>
      <c r="N757">
        <v>69594</v>
      </c>
      <c r="O757">
        <f t="shared" ca="1" si="73"/>
        <v>0.95443037974683553</v>
      </c>
    </row>
    <row r="758" spans="1:15" x14ac:dyDescent="0.2">
      <c r="A758" t="str">
        <f ca="1">IFERROR(__xludf.DUMMYFUNCTION("""COMPUTED_VALUE"""),"km")</f>
        <v>km</v>
      </c>
      <c r="B758" t="str">
        <f ca="1">IFERROR(__xludf.DUMMYFUNCTION("""COMPUTED_VALUE"""),"Model S P85")</f>
        <v>Model S P85</v>
      </c>
      <c r="C758">
        <f ca="1">IFERROR(__xludf.DUMMYFUNCTION("""COMPUTED_VALUE"""),392)</f>
        <v>392</v>
      </c>
      <c r="D758">
        <f ca="1">IFERROR(__xludf.DUMMYFUNCTION("""COMPUTED_VALUE"""),80000)</f>
        <v>80000</v>
      </c>
      <c r="E758">
        <f ca="1">IFERROR(__xludf.DUMMYFUNCTION("""COMPUTED_VALUE"""),377)</f>
        <v>377</v>
      </c>
      <c r="F758">
        <v>395</v>
      </c>
      <c r="G758">
        <v>0.95443037974683542</v>
      </c>
      <c r="H758">
        <v>49710</v>
      </c>
      <c r="I758">
        <v>80000</v>
      </c>
      <c r="J758">
        <v>49710</v>
      </c>
      <c r="K758">
        <v>0.95107978059412024</v>
      </c>
      <c r="L758">
        <f t="shared" ca="1" si="76"/>
        <v>234.256867</v>
      </c>
      <c r="M758">
        <f t="shared" si="77"/>
        <v>245.44154499999999</v>
      </c>
      <c r="N758">
        <v>49710</v>
      </c>
      <c r="O758">
        <f t="shared" ca="1" si="73"/>
        <v>0.95443037974683553</v>
      </c>
    </row>
    <row r="759" spans="1:15" x14ac:dyDescent="0.2">
      <c r="A759" t="str">
        <f ca="1">IFERROR(__xludf.DUMMYFUNCTION("""COMPUTED_VALUE"""),"km")</f>
        <v>km</v>
      </c>
      <c r="B759" t="str">
        <f ca="1">IFERROR(__xludf.DUMMYFUNCTION("""COMPUTED_VALUE"""),"Model S 85")</f>
        <v>Model S 85</v>
      </c>
      <c r="C759">
        <f ca="1">IFERROR(__xludf.DUMMYFUNCTION("""COMPUTED_VALUE"""),398)</f>
        <v>398</v>
      </c>
      <c r="D759">
        <f ca="1">IFERROR(__xludf.DUMMYFUNCTION("""COMPUTED_VALUE"""),89983)</f>
        <v>89983</v>
      </c>
      <c r="E759">
        <f ca="1">IFERROR(__xludf.DUMMYFUNCTION("""COMPUTED_VALUE"""),377)</f>
        <v>377</v>
      </c>
      <c r="F759">
        <v>395</v>
      </c>
      <c r="G759">
        <v>0.95443037974683542</v>
      </c>
      <c r="H759">
        <v>55913</v>
      </c>
      <c r="I759">
        <v>89983</v>
      </c>
      <c r="J759">
        <v>55913</v>
      </c>
      <c r="K759">
        <v>0.94583254262402527</v>
      </c>
      <c r="L759">
        <f t="shared" ca="1" si="76"/>
        <v>234.256867</v>
      </c>
      <c r="M759">
        <f t="shared" si="77"/>
        <v>245.44154499999999</v>
      </c>
      <c r="N759">
        <v>55913</v>
      </c>
      <c r="O759">
        <f t="shared" ca="1" si="73"/>
        <v>0.95443037974683553</v>
      </c>
    </row>
    <row r="760" spans="1:15" x14ac:dyDescent="0.2">
      <c r="A760" t="str">
        <f ca="1">IFERROR(__xludf.DUMMYFUNCTION("""COMPUTED_VALUE"""),"km")</f>
        <v>km</v>
      </c>
      <c r="B760" t="str">
        <f ca="1">IFERROR(__xludf.DUMMYFUNCTION("""COMPUTED_VALUE"""),"Model S 85")</f>
        <v>Model S 85</v>
      </c>
      <c r="D760">
        <f ca="1">IFERROR(__xludf.DUMMYFUNCTION("""COMPUTED_VALUE"""),130820)</f>
        <v>130820</v>
      </c>
      <c r="E760">
        <f ca="1">IFERROR(__xludf.DUMMYFUNCTION("""COMPUTED_VALUE"""),377)</f>
        <v>377</v>
      </c>
      <c r="F760">
        <v>395</v>
      </c>
      <c r="G760">
        <v>0.95443037974683542</v>
      </c>
      <c r="H760">
        <v>81288</v>
      </c>
      <c r="I760">
        <v>130820</v>
      </c>
      <c r="J760">
        <v>81288</v>
      </c>
      <c r="K760">
        <v>0.92644889361125338</v>
      </c>
      <c r="L760">
        <f t="shared" ca="1" si="76"/>
        <v>234.256867</v>
      </c>
      <c r="M760">
        <f t="shared" si="77"/>
        <v>245.44154499999999</v>
      </c>
      <c r="N760">
        <v>81288</v>
      </c>
      <c r="O760">
        <f t="shared" ca="1" si="73"/>
        <v>0.95443037974683553</v>
      </c>
    </row>
    <row r="761" spans="1:15" x14ac:dyDescent="0.2">
      <c r="A761" t="str">
        <f ca="1">IFERROR(__xludf.DUMMYFUNCTION("""COMPUTED_VALUE"""),"km")</f>
        <v>km</v>
      </c>
      <c r="B761" t="str">
        <f ca="1">IFERROR(__xludf.DUMMYFUNCTION("""COMPUTED_VALUE"""),"Model S 85")</f>
        <v>Model S 85</v>
      </c>
      <c r="D761">
        <f ca="1">IFERROR(__xludf.DUMMYFUNCTION("""COMPUTED_VALUE"""),37000)</f>
        <v>37000</v>
      </c>
      <c r="E761">
        <f ca="1">IFERROR(__xludf.DUMMYFUNCTION("""COMPUTED_VALUE"""),377)</f>
        <v>377</v>
      </c>
      <c r="F761">
        <v>395</v>
      </c>
      <c r="G761">
        <v>0.95443037974683542</v>
      </c>
      <c r="H761">
        <v>22991</v>
      </c>
      <c r="I761">
        <v>37000</v>
      </c>
      <c r="J761">
        <v>22991</v>
      </c>
      <c r="K761">
        <v>0.97588612501943528</v>
      </c>
      <c r="L761">
        <f t="shared" ca="1" si="76"/>
        <v>234.256867</v>
      </c>
      <c r="M761">
        <f t="shared" si="77"/>
        <v>245.44154499999999</v>
      </c>
      <c r="N761">
        <v>22991</v>
      </c>
      <c r="O761">
        <f t="shared" ca="1" si="73"/>
        <v>0.95443037974683553</v>
      </c>
    </row>
    <row r="762" spans="1:15" x14ac:dyDescent="0.2">
      <c r="A762" t="str">
        <f ca="1">IFERROR(__xludf.DUMMYFUNCTION("""COMPUTED_VALUE"""),"km")</f>
        <v>km</v>
      </c>
      <c r="B762" t="str">
        <f ca="1">IFERROR(__xludf.DUMMYFUNCTION("""COMPUTED_VALUE"""),"Model S 85")</f>
        <v>Model S 85</v>
      </c>
      <c r="D762">
        <f ca="1">IFERROR(__xludf.DUMMYFUNCTION("""COMPUTED_VALUE"""),40501)</f>
        <v>40501</v>
      </c>
      <c r="E762">
        <f ca="1">IFERROR(__xludf.DUMMYFUNCTION("""COMPUTED_VALUE"""),377)</f>
        <v>377</v>
      </c>
      <c r="F762">
        <v>395</v>
      </c>
      <c r="G762">
        <v>0.95443037974683542</v>
      </c>
      <c r="H762">
        <v>25166</v>
      </c>
      <c r="I762">
        <v>40501</v>
      </c>
      <c r="J762">
        <v>25166</v>
      </c>
      <c r="K762">
        <v>0.97373508640482809</v>
      </c>
      <c r="L762">
        <f t="shared" ca="1" si="76"/>
        <v>234.256867</v>
      </c>
      <c r="M762">
        <f t="shared" si="77"/>
        <v>245.44154499999999</v>
      </c>
      <c r="N762">
        <v>25166</v>
      </c>
      <c r="O762">
        <f t="shared" ca="1" si="73"/>
        <v>0.95443037974683553</v>
      </c>
    </row>
    <row r="763" spans="1:15" x14ac:dyDescent="0.2">
      <c r="A763" t="str">
        <f ca="1">IFERROR(__xludf.DUMMYFUNCTION("""COMPUTED_VALUE"""),"km")</f>
        <v>km</v>
      </c>
      <c r="B763" t="str">
        <f ca="1">IFERROR(__xludf.DUMMYFUNCTION("""COMPUTED_VALUE"""),"Model S 85")</f>
        <v>Model S 85</v>
      </c>
      <c r="D763">
        <f ca="1">IFERROR(__xludf.DUMMYFUNCTION("""COMPUTED_VALUE"""),22000)</f>
        <v>22000</v>
      </c>
      <c r="E763">
        <f ca="1">IFERROR(__xludf.DUMMYFUNCTION("""COMPUTED_VALUE"""),377)</f>
        <v>377</v>
      </c>
      <c r="F763">
        <v>395</v>
      </c>
      <c r="G763">
        <v>0.95443037974683542</v>
      </c>
      <c r="H763">
        <v>13670</v>
      </c>
      <c r="I763">
        <v>22000</v>
      </c>
      <c r="J763">
        <v>13670</v>
      </c>
      <c r="K763">
        <v>0.98536007017028693</v>
      </c>
      <c r="L763">
        <f t="shared" ca="1" si="76"/>
        <v>234.256867</v>
      </c>
      <c r="M763">
        <f t="shared" si="77"/>
        <v>245.44154499999999</v>
      </c>
      <c r="N763">
        <v>13670</v>
      </c>
      <c r="O763">
        <f t="shared" ca="1" si="73"/>
        <v>0.95443037974683553</v>
      </c>
    </row>
    <row r="764" spans="1:15" x14ac:dyDescent="0.2">
      <c r="A764" t="str">
        <f ca="1">IFERROR(__xludf.DUMMYFUNCTION("""COMPUTED_VALUE"""),"km")</f>
        <v>km</v>
      </c>
      <c r="B764" t="str">
        <f ca="1">IFERROR(__xludf.DUMMYFUNCTION("""COMPUTED_VALUE"""),"Model S 85")</f>
        <v>Model S 85</v>
      </c>
      <c r="D764">
        <f ca="1">IFERROR(__xludf.DUMMYFUNCTION("""COMPUTED_VALUE"""),34822)</f>
        <v>34822</v>
      </c>
      <c r="E764">
        <f ca="1">IFERROR(__xludf.DUMMYFUNCTION("""COMPUTED_VALUE"""),377)</f>
        <v>377</v>
      </c>
      <c r="F764">
        <v>395</v>
      </c>
      <c r="G764">
        <v>0.95443037974683542</v>
      </c>
      <c r="H764">
        <v>21637</v>
      </c>
      <c r="I764">
        <v>34822</v>
      </c>
      <c r="J764">
        <v>21637</v>
      </c>
      <c r="K764">
        <v>0.9772358510819108</v>
      </c>
      <c r="L764">
        <f t="shared" ca="1" si="76"/>
        <v>234.256867</v>
      </c>
      <c r="M764">
        <f t="shared" si="77"/>
        <v>245.44154499999999</v>
      </c>
      <c r="N764">
        <v>21637</v>
      </c>
      <c r="O764">
        <f t="shared" ca="1" si="73"/>
        <v>0.95443037974683553</v>
      </c>
    </row>
    <row r="765" spans="1:15" x14ac:dyDescent="0.2">
      <c r="A765" t="str">
        <f ca="1">IFERROR(__xludf.DUMMYFUNCTION("""COMPUTED_VALUE"""),"km")</f>
        <v>km</v>
      </c>
      <c r="B765" t="str">
        <f ca="1">IFERROR(__xludf.DUMMYFUNCTION("""COMPUTED_VALUE"""),"Model S 85")</f>
        <v>Model S 85</v>
      </c>
      <c r="C765">
        <f ca="1">IFERROR(__xludf.DUMMYFUNCTION("""COMPUTED_VALUE"""),400)</f>
        <v>400</v>
      </c>
      <c r="D765">
        <f ca="1">IFERROR(__xludf.DUMMYFUNCTION("""COMPUTED_VALUE"""),108788)</f>
        <v>108788</v>
      </c>
      <c r="E765">
        <f ca="1">IFERROR(__xludf.DUMMYFUNCTION("""COMPUTED_VALUE"""),377)</f>
        <v>377</v>
      </c>
      <c r="F765">
        <v>395</v>
      </c>
      <c r="G765">
        <v>0.95443037974683542</v>
      </c>
      <c r="H765">
        <v>67598</v>
      </c>
      <c r="I765">
        <v>108788</v>
      </c>
      <c r="J765">
        <v>67598</v>
      </c>
      <c r="K765">
        <v>0.93648660375129467</v>
      </c>
      <c r="L765">
        <f t="shared" ca="1" si="76"/>
        <v>234.256867</v>
      </c>
      <c r="M765">
        <f t="shared" si="77"/>
        <v>245.44154499999999</v>
      </c>
      <c r="N765">
        <v>67598</v>
      </c>
      <c r="O765">
        <f t="shared" ca="1" si="73"/>
        <v>0.95443037974683553</v>
      </c>
    </row>
    <row r="766" spans="1:15" x14ac:dyDescent="0.2">
      <c r="A766" t="str">
        <f ca="1">IFERROR(__xludf.DUMMYFUNCTION("""COMPUTED_VALUE"""),"km")</f>
        <v>km</v>
      </c>
      <c r="B766" t="str">
        <f ca="1">IFERROR(__xludf.DUMMYFUNCTION("""COMPUTED_VALUE"""),"Model S P85")</f>
        <v>Model S P85</v>
      </c>
      <c r="C766">
        <f ca="1">IFERROR(__xludf.DUMMYFUNCTION("""COMPUTED_VALUE"""),400)</f>
        <v>400</v>
      </c>
      <c r="D766">
        <f ca="1">IFERROR(__xludf.DUMMYFUNCTION("""COMPUTED_VALUE"""),56138)</f>
        <v>56138</v>
      </c>
      <c r="E766">
        <f ca="1">IFERROR(__xludf.DUMMYFUNCTION("""COMPUTED_VALUE"""),377)</f>
        <v>377</v>
      </c>
      <c r="F766">
        <v>395</v>
      </c>
      <c r="G766">
        <v>0.95443037974683542</v>
      </c>
      <c r="H766">
        <v>34883</v>
      </c>
      <c r="I766">
        <v>56138</v>
      </c>
      <c r="J766">
        <v>34883</v>
      </c>
      <c r="K766">
        <v>0.96440926683883199</v>
      </c>
      <c r="L766">
        <f t="shared" ca="1" si="76"/>
        <v>234.256867</v>
      </c>
      <c r="M766">
        <f t="shared" si="77"/>
        <v>245.44154499999999</v>
      </c>
      <c r="N766">
        <v>34883</v>
      </c>
      <c r="O766">
        <f t="shared" ca="1" si="73"/>
        <v>0.95443037974683553</v>
      </c>
    </row>
    <row r="767" spans="1:15" x14ac:dyDescent="0.2">
      <c r="A767" t="str">
        <f ca="1">IFERROR(__xludf.DUMMYFUNCTION("""COMPUTED_VALUE"""),"km")</f>
        <v>km</v>
      </c>
      <c r="B767" t="str">
        <f ca="1">IFERROR(__xludf.DUMMYFUNCTION("""COMPUTED_VALUE"""),"Model S 85")</f>
        <v>Model S 85</v>
      </c>
      <c r="C767">
        <f ca="1">IFERROR(__xludf.DUMMYFUNCTION("""COMPUTED_VALUE"""),400)</f>
        <v>400</v>
      </c>
      <c r="D767">
        <f ca="1">IFERROR(__xludf.DUMMYFUNCTION("""COMPUTED_VALUE"""),24281)</f>
        <v>24281</v>
      </c>
      <c r="E767">
        <f ca="1">IFERROR(__xludf.DUMMYFUNCTION("""COMPUTED_VALUE"""),377)</f>
        <v>377</v>
      </c>
      <c r="F767">
        <v>395</v>
      </c>
      <c r="G767">
        <v>0.95443037974683542</v>
      </c>
      <c r="H767">
        <v>15088</v>
      </c>
      <c r="I767">
        <v>24281</v>
      </c>
      <c r="J767">
        <v>15088</v>
      </c>
      <c r="K767">
        <v>0.98389260863805428</v>
      </c>
      <c r="L767">
        <f t="shared" ca="1" si="76"/>
        <v>234.256867</v>
      </c>
      <c r="M767">
        <f t="shared" si="77"/>
        <v>245.44154499999999</v>
      </c>
      <c r="N767">
        <v>15088</v>
      </c>
      <c r="O767">
        <f t="shared" ca="1" si="73"/>
        <v>0.95443037974683553</v>
      </c>
    </row>
    <row r="768" spans="1:15" x14ac:dyDescent="0.2">
      <c r="A768" t="str">
        <f ca="1">IFERROR(__xludf.DUMMYFUNCTION("""COMPUTED_VALUE"""),"km")</f>
        <v>km</v>
      </c>
      <c r="B768" t="str">
        <f ca="1">IFERROR(__xludf.DUMMYFUNCTION("""COMPUTED_VALUE"""),"Model S 85")</f>
        <v>Model S 85</v>
      </c>
      <c r="C768">
        <f ca="1">IFERROR(__xludf.DUMMYFUNCTION("""COMPUTED_VALUE"""),393)</f>
        <v>393</v>
      </c>
      <c r="D768">
        <f ca="1">IFERROR(__xludf.DUMMYFUNCTION("""COMPUTED_VALUE"""),34041)</f>
        <v>34041</v>
      </c>
      <c r="E768">
        <f ca="1">IFERROR(__xludf.DUMMYFUNCTION("""COMPUTED_VALUE"""),377)</f>
        <v>377</v>
      </c>
      <c r="F768">
        <v>395</v>
      </c>
      <c r="G768">
        <v>0.95443037974683542</v>
      </c>
      <c r="H768">
        <v>21152</v>
      </c>
      <c r="I768">
        <v>34041</v>
      </c>
      <c r="J768">
        <v>21152</v>
      </c>
      <c r="K768">
        <v>0.97772199606399257</v>
      </c>
      <c r="L768">
        <f t="shared" ca="1" si="76"/>
        <v>234.256867</v>
      </c>
      <c r="M768">
        <f t="shared" si="77"/>
        <v>245.44154499999999</v>
      </c>
      <c r="N768">
        <v>21152</v>
      </c>
      <c r="O768">
        <f t="shared" ca="1" si="73"/>
        <v>0.95443037974683553</v>
      </c>
    </row>
    <row r="769" spans="1:15" x14ac:dyDescent="0.2">
      <c r="A769" t="str">
        <f ca="1">IFERROR(__xludf.DUMMYFUNCTION("""COMPUTED_VALUE"""),"km")</f>
        <v>km</v>
      </c>
      <c r="B769" t="str">
        <f ca="1">IFERROR(__xludf.DUMMYFUNCTION("""COMPUTED_VALUE"""),"Model S 85")</f>
        <v>Model S 85</v>
      </c>
      <c r="C769">
        <f ca="1">IFERROR(__xludf.DUMMYFUNCTION("""COMPUTED_VALUE"""),393)</f>
        <v>393</v>
      </c>
      <c r="D769">
        <f ca="1">IFERROR(__xludf.DUMMYFUNCTION("""COMPUTED_VALUE"""),33439)</f>
        <v>33439</v>
      </c>
      <c r="E769">
        <f ca="1">IFERROR(__xludf.DUMMYFUNCTION("""COMPUTED_VALUE"""),377)</f>
        <v>377</v>
      </c>
      <c r="F769">
        <v>395</v>
      </c>
      <c r="G769">
        <v>0.95443037974683542</v>
      </c>
      <c r="H769">
        <v>20778</v>
      </c>
      <c r="I769">
        <v>33439</v>
      </c>
      <c r="J769">
        <v>20778</v>
      </c>
      <c r="K769">
        <v>0.97809749420913961</v>
      </c>
      <c r="L769">
        <f t="shared" ca="1" si="76"/>
        <v>234.256867</v>
      </c>
      <c r="M769">
        <f t="shared" si="77"/>
        <v>245.44154499999999</v>
      </c>
      <c r="N769">
        <v>20778</v>
      </c>
      <c r="O769">
        <f t="shared" ca="1" si="73"/>
        <v>0.95443037974683553</v>
      </c>
    </row>
    <row r="770" spans="1:15" x14ac:dyDescent="0.2">
      <c r="A770" t="str">
        <f ca="1">IFERROR(__xludf.DUMMYFUNCTION("""COMPUTED_VALUE"""),"km")</f>
        <v>km</v>
      </c>
      <c r="B770" t="str">
        <f ca="1">IFERROR(__xludf.DUMMYFUNCTION("""COMPUTED_VALUE"""),"Model S 85")</f>
        <v>Model S 85</v>
      </c>
      <c r="D770">
        <f ca="1">IFERROR(__xludf.DUMMYFUNCTION("""COMPUTED_VALUE"""),88160)</f>
        <v>88160</v>
      </c>
      <c r="E770">
        <f ca="1">IFERROR(__xludf.DUMMYFUNCTION("""COMPUTED_VALUE"""),377)</f>
        <v>377</v>
      </c>
      <c r="F770">
        <v>395</v>
      </c>
      <c r="G770">
        <v>0.95443037974683542</v>
      </c>
      <c r="H770">
        <v>54780</v>
      </c>
      <c r="I770">
        <v>88160</v>
      </c>
      <c r="J770">
        <v>54780</v>
      </c>
      <c r="K770">
        <v>0.94677606684698012</v>
      </c>
      <c r="L770">
        <f t="shared" ca="1" si="76"/>
        <v>234.256867</v>
      </c>
      <c r="M770">
        <f t="shared" si="77"/>
        <v>245.44154499999999</v>
      </c>
      <c r="N770">
        <v>54780</v>
      </c>
      <c r="O770">
        <f t="shared" ref="O770:O833" ca="1" si="78">L770/M770</f>
        <v>0.95443037974683553</v>
      </c>
    </row>
    <row r="771" spans="1:15" x14ac:dyDescent="0.2">
      <c r="A771" t="str">
        <f ca="1">IFERROR(__xludf.DUMMYFUNCTION("""COMPUTED_VALUE"""),"km")</f>
        <v>km</v>
      </c>
      <c r="B771" t="str">
        <f ca="1">IFERROR(__xludf.DUMMYFUNCTION("""COMPUTED_VALUE"""),"Model S 85")</f>
        <v>Model S 85</v>
      </c>
      <c r="C771">
        <f ca="1">IFERROR(__xludf.DUMMYFUNCTION("""COMPUTED_VALUE"""),398)</f>
        <v>398</v>
      </c>
      <c r="D771">
        <f ca="1">IFERROR(__xludf.DUMMYFUNCTION("""COMPUTED_VALUE"""),62465)</f>
        <v>62465</v>
      </c>
      <c r="E771">
        <f ca="1">IFERROR(__xludf.DUMMYFUNCTION("""COMPUTED_VALUE"""),377)</f>
        <v>377</v>
      </c>
      <c r="F771">
        <v>395</v>
      </c>
      <c r="G771">
        <v>0.95443037974683542</v>
      </c>
      <c r="H771">
        <v>38814</v>
      </c>
      <c r="I771">
        <v>62465</v>
      </c>
      <c r="J771">
        <v>38814</v>
      </c>
      <c r="K771">
        <v>0.96076793986508757</v>
      </c>
      <c r="L771">
        <f t="shared" ca="1" si="76"/>
        <v>234.256867</v>
      </c>
      <c r="M771">
        <f t="shared" si="77"/>
        <v>245.44154499999999</v>
      </c>
      <c r="N771">
        <v>38814</v>
      </c>
      <c r="O771">
        <f t="shared" ca="1" si="78"/>
        <v>0.95443037974683553</v>
      </c>
    </row>
    <row r="772" spans="1:15" x14ac:dyDescent="0.2">
      <c r="A772" t="str">
        <f ca="1">IFERROR(__xludf.DUMMYFUNCTION("""COMPUTED_VALUE"""),"km")</f>
        <v>km</v>
      </c>
      <c r="B772" t="str">
        <f ca="1">IFERROR(__xludf.DUMMYFUNCTION("""COMPUTED_VALUE"""),"Model S 85")</f>
        <v>Model S 85</v>
      </c>
      <c r="C772">
        <f ca="1">IFERROR(__xludf.DUMMYFUNCTION("""COMPUTED_VALUE"""),398)</f>
        <v>398</v>
      </c>
      <c r="D772">
        <f ca="1">IFERROR(__xludf.DUMMYFUNCTION("""COMPUTED_VALUE"""),62102)</f>
        <v>62102</v>
      </c>
      <c r="E772">
        <f ca="1">IFERROR(__xludf.DUMMYFUNCTION("""COMPUTED_VALUE"""),377)</f>
        <v>377</v>
      </c>
      <c r="F772">
        <v>395</v>
      </c>
      <c r="G772">
        <v>0.95443037974683542</v>
      </c>
      <c r="H772">
        <v>38588</v>
      </c>
      <c r="I772">
        <v>62102</v>
      </c>
      <c r="J772">
        <v>38588</v>
      </c>
      <c r="K772">
        <v>0.96097478009887116</v>
      </c>
      <c r="L772">
        <f t="shared" ca="1" si="76"/>
        <v>234.256867</v>
      </c>
      <c r="M772">
        <f t="shared" si="77"/>
        <v>245.44154499999999</v>
      </c>
      <c r="N772">
        <v>38588</v>
      </c>
      <c r="O772">
        <f t="shared" ca="1" si="78"/>
        <v>0.95443037974683553</v>
      </c>
    </row>
    <row r="773" spans="1:15" x14ac:dyDescent="0.2">
      <c r="A773" t="str">
        <f ca="1">IFERROR(__xludf.DUMMYFUNCTION("""COMPUTED_VALUE"""),"km")</f>
        <v>km</v>
      </c>
      <c r="B773" t="str">
        <f ca="1">IFERROR(__xludf.DUMMYFUNCTION("""COMPUTED_VALUE"""),"Model S 85")</f>
        <v>Model S 85</v>
      </c>
      <c r="D773">
        <f ca="1">IFERROR(__xludf.DUMMYFUNCTION("""COMPUTED_VALUE"""),48407)</f>
        <v>48407</v>
      </c>
      <c r="E773">
        <f ca="1">IFERROR(__xludf.DUMMYFUNCTION("""COMPUTED_VALUE"""),377)</f>
        <v>377</v>
      </c>
      <c r="F773">
        <v>395</v>
      </c>
      <c r="G773">
        <v>0.95443037974683542</v>
      </c>
      <c r="H773">
        <v>30079</v>
      </c>
      <c r="I773">
        <v>48407</v>
      </c>
      <c r="J773">
        <v>30079</v>
      </c>
      <c r="K773">
        <v>0.96896221675477234</v>
      </c>
      <c r="L773">
        <f t="shared" ca="1" si="76"/>
        <v>234.256867</v>
      </c>
      <c r="M773">
        <f t="shared" si="77"/>
        <v>245.44154499999999</v>
      </c>
      <c r="N773">
        <v>30079</v>
      </c>
      <c r="O773">
        <f t="shared" ca="1" si="78"/>
        <v>0.95443037974683553</v>
      </c>
    </row>
    <row r="774" spans="1:15" x14ac:dyDescent="0.2">
      <c r="A774" t="str">
        <f ca="1">IFERROR(__xludf.DUMMYFUNCTION("""COMPUTED_VALUE"""),"km")</f>
        <v>km</v>
      </c>
      <c r="B774" t="str">
        <f ca="1">IFERROR(__xludf.DUMMYFUNCTION("""COMPUTED_VALUE"""),"Model S P85")</f>
        <v>Model S P85</v>
      </c>
      <c r="D774">
        <f ca="1">IFERROR(__xludf.DUMMYFUNCTION("""COMPUTED_VALUE"""),34533)</f>
        <v>34533</v>
      </c>
      <c r="E774">
        <f ca="1">IFERROR(__xludf.DUMMYFUNCTION("""COMPUTED_VALUE"""),377)</f>
        <v>377</v>
      </c>
      <c r="F774">
        <v>395</v>
      </c>
      <c r="G774">
        <v>0.95443037974683542</v>
      </c>
      <c r="H774">
        <v>21458</v>
      </c>
      <c r="I774">
        <v>34533</v>
      </c>
      <c r="J774">
        <v>21458</v>
      </c>
      <c r="K774">
        <v>0.9774156110977108</v>
      </c>
      <c r="L774">
        <f t="shared" ca="1" si="76"/>
        <v>234.256867</v>
      </c>
      <c r="M774">
        <f t="shared" si="77"/>
        <v>245.44154499999999</v>
      </c>
      <c r="N774">
        <v>21458</v>
      </c>
      <c r="O774">
        <f t="shared" ca="1" si="78"/>
        <v>0.95443037974683553</v>
      </c>
    </row>
    <row r="775" spans="1:15" x14ac:dyDescent="0.2">
      <c r="A775" t="str">
        <f ca="1">IFERROR(__xludf.DUMMYFUNCTION("""COMPUTED_VALUE"""),"km")</f>
        <v>km</v>
      </c>
      <c r="B775" t="str">
        <f ca="1">IFERROR(__xludf.DUMMYFUNCTION("""COMPUTED_VALUE"""),"Model S 85")</f>
        <v>Model S 85</v>
      </c>
      <c r="D775">
        <f ca="1">IFERROR(__xludf.DUMMYFUNCTION("""COMPUTED_VALUE"""),54000)</f>
        <v>54000</v>
      </c>
      <c r="E775">
        <f ca="1">IFERROR(__xludf.DUMMYFUNCTION("""COMPUTED_VALUE"""),377)</f>
        <v>377</v>
      </c>
      <c r="F775">
        <v>395</v>
      </c>
      <c r="G775">
        <v>0.95443037974683542</v>
      </c>
      <c r="H775">
        <v>33554</v>
      </c>
      <c r="I775">
        <v>54000</v>
      </c>
      <c r="J775">
        <v>33554</v>
      </c>
      <c r="K775">
        <v>0.96565701932832937</v>
      </c>
      <c r="L775">
        <f t="shared" ca="1" si="76"/>
        <v>234.256867</v>
      </c>
      <c r="M775">
        <f t="shared" si="77"/>
        <v>245.44154499999999</v>
      </c>
      <c r="N775">
        <v>33554</v>
      </c>
      <c r="O775">
        <f t="shared" ca="1" si="78"/>
        <v>0.95443037974683553</v>
      </c>
    </row>
    <row r="776" spans="1:15" x14ac:dyDescent="0.2">
      <c r="A776" t="str">
        <f ca="1">IFERROR(__xludf.DUMMYFUNCTION("""COMPUTED_VALUE"""),"km")</f>
        <v>km</v>
      </c>
      <c r="B776" t="str">
        <f ca="1">IFERROR(__xludf.DUMMYFUNCTION("""COMPUTED_VALUE"""),"Model S 85")</f>
        <v>Model S 85</v>
      </c>
      <c r="D776">
        <f ca="1">IFERROR(__xludf.DUMMYFUNCTION("""COMPUTED_VALUE"""),39000)</f>
        <v>39000</v>
      </c>
      <c r="E776">
        <f ca="1">IFERROR(__xludf.DUMMYFUNCTION("""COMPUTED_VALUE"""),377)</f>
        <v>377</v>
      </c>
      <c r="F776">
        <v>395</v>
      </c>
      <c r="G776">
        <v>0.95443037974683542</v>
      </c>
      <c r="H776">
        <v>24233</v>
      </c>
      <c r="I776">
        <v>39000</v>
      </c>
      <c r="J776">
        <v>24233</v>
      </c>
      <c r="K776">
        <v>0.97465450403028253</v>
      </c>
      <c r="L776">
        <f t="shared" ca="1" si="76"/>
        <v>234.256867</v>
      </c>
      <c r="M776">
        <f t="shared" si="77"/>
        <v>245.44154499999999</v>
      </c>
      <c r="N776">
        <v>24233</v>
      </c>
      <c r="O776">
        <f t="shared" ca="1" si="78"/>
        <v>0.95443037974683553</v>
      </c>
    </row>
    <row r="777" spans="1:15" x14ac:dyDescent="0.2">
      <c r="A777" t="str">
        <f ca="1">IFERROR(__xludf.DUMMYFUNCTION("""COMPUTED_VALUE"""),"km")</f>
        <v>km</v>
      </c>
      <c r="B777" t="str">
        <f ca="1">IFERROR(__xludf.DUMMYFUNCTION("""COMPUTED_VALUE"""),"Model S 85")</f>
        <v>Model S 85</v>
      </c>
      <c r="D777">
        <f ca="1">IFERROR(__xludf.DUMMYFUNCTION("""COMPUTED_VALUE"""),33150)</f>
        <v>33150</v>
      </c>
      <c r="E777">
        <f ca="1">IFERROR(__xludf.DUMMYFUNCTION("""COMPUTED_VALUE"""),377)</f>
        <v>377</v>
      </c>
      <c r="F777">
        <v>395</v>
      </c>
      <c r="G777">
        <v>0.95443037974683542</v>
      </c>
      <c r="H777">
        <v>20598</v>
      </c>
      <c r="I777">
        <v>33150</v>
      </c>
      <c r="J777">
        <v>20598</v>
      </c>
      <c r="K777">
        <v>0.97827799761299694</v>
      </c>
      <c r="L777">
        <f t="shared" ca="1" si="76"/>
        <v>234.256867</v>
      </c>
      <c r="M777">
        <f t="shared" si="77"/>
        <v>245.44154499999999</v>
      </c>
      <c r="N777">
        <v>20598</v>
      </c>
      <c r="O777">
        <f t="shared" ca="1" si="78"/>
        <v>0.95443037974683553</v>
      </c>
    </row>
    <row r="778" spans="1:15" x14ac:dyDescent="0.2">
      <c r="A778" t="str">
        <f ca="1">IFERROR(__xludf.DUMMYFUNCTION("""COMPUTED_VALUE"""),"km")</f>
        <v>km</v>
      </c>
      <c r="B778" t="str">
        <f ca="1">IFERROR(__xludf.DUMMYFUNCTION("""COMPUTED_VALUE"""),"Unspecified 85 kWh")</f>
        <v>Unspecified 85 kWh</v>
      </c>
      <c r="D778">
        <f ca="1">IFERROR(__xludf.DUMMYFUNCTION("""COMPUTED_VALUE"""),36369)</f>
        <v>36369</v>
      </c>
      <c r="E778">
        <f ca="1">IFERROR(__xludf.DUMMYFUNCTION("""COMPUTED_VALUE"""),377)</f>
        <v>377</v>
      </c>
      <c r="F778">
        <v>395</v>
      </c>
      <c r="G778">
        <v>0.95443037974683542</v>
      </c>
      <c r="H778">
        <v>22599</v>
      </c>
      <c r="I778">
        <v>36369</v>
      </c>
      <c r="J778">
        <v>22599</v>
      </c>
      <c r="K778">
        <v>0.97627625142446361</v>
      </c>
      <c r="L778">
        <f t="shared" ca="1" si="76"/>
        <v>234.256867</v>
      </c>
      <c r="M778">
        <f t="shared" si="77"/>
        <v>245.44154499999999</v>
      </c>
      <c r="N778">
        <v>22599</v>
      </c>
      <c r="O778">
        <f t="shared" ca="1" si="78"/>
        <v>0.95443037974683553</v>
      </c>
    </row>
    <row r="779" spans="1:15" x14ac:dyDescent="0.2">
      <c r="A779" t="str">
        <f ca="1">IFERROR(__xludf.DUMMYFUNCTION("""COMPUTED_VALUE"""),"km")</f>
        <v>km</v>
      </c>
      <c r="B779" t="str">
        <f ca="1">IFERROR(__xludf.DUMMYFUNCTION("""COMPUTED_VALUE"""),"Model S P85")</f>
        <v>Model S P85</v>
      </c>
      <c r="C779">
        <f ca="1">IFERROR(__xludf.DUMMYFUNCTION("""COMPUTED_VALUE"""),399)</f>
        <v>399</v>
      </c>
      <c r="D779">
        <f ca="1">IFERROR(__xludf.DUMMYFUNCTION("""COMPUTED_VALUE"""),47352)</f>
        <v>47352</v>
      </c>
      <c r="E779">
        <f ca="1">IFERROR(__xludf.DUMMYFUNCTION("""COMPUTED_VALUE"""),377)</f>
        <v>377</v>
      </c>
      <c r="F779">
        <v>395</v>
      </c>
      <c r="G779">
        <v>0.95443037974683542</v>
      </c>
      <c r="H779">
        <v>29423</v>
      </c>
      <c r="I779">
        <v>47352</v>
      </c>
      <c r="J779">
        <v>29423</v>
      </c>
      <c r="K779">
        <v>0.96959231315675654</v>
      </c>
      <c r="L779">
        <f t="shared" ca="1" si="76"/>
        <v>234.256867</v>
      </c>
      <c r="M779">
        <f t="shared" si="77"/>
        <v>245.44154499999999</v>
      </c>
      <c r="N779">
        <v>29423</v>
      </c>
      <c r="O779">
        <f t="shared" ca="1" si="78"/>
        <v>0.95443037974683553</v>
      </c>
    </row>
    <row r="780" spans="1:15" x14ac:dyDescent="0.2">
      <c r="A780" t="str">
        <f ca="1">IFERROR(__xludf.DUMMYFUNCTION("""COMPUTED_VALUE"""),"mi")</f>
        <v>mi</v>
      </c>
      <c r="B780" t="str">
        <f ca="1">IFERROR(__xludf.DUMMYFUNCTION("""COMPUTED_VALUE"""),"Model 3 SR")</f>
        <v>Model 3 SR</v>
      </c>
      <c r="C780">
        <f ca="1">IFERROR(__xludf.DUMMYFUNCTION("""COMPUTED_VALUE"""),210)</f>
        <v>210</v>
      </c>
      <c r="D780">
        <f ca="1">IFERROR(__xludf.DUMMYFUNCTION("""COMPUTED_VALUE"""),750)</f>
        <v>750</v>
      </c>
      <c r="E780">
        <f ca="1">IFERROR(__xludf.DUMMYFUNCTION("""COMPUTED_VALUE"""),210)</f>
        <v>210</v>
      </c>
      <c r="F780">
        <v>220</v>
      </c>
      <c r="G780">
        <v>0.95454545454545459</v>
      </c>
      <c r="H780">
        <v>750</v>
      </c>
      <c r="I780">
        <v>1207</v>
      </c>
      <c r="J780">
        <v>750</v>
      </c>
      <c r="K780">
        <v>0.99917414574496555</v>
      </c>
      <c r="L780">
        <f ca="1">IFERROR(__xludf.DUMMYFUNCTION("""COMPUTED_VALUE"""),210)</f>
        <v>210</v>
      </c>
      <c r="M780">
        <v>220</v>
      </c>
      <c r="N780">
        <v>750</v>
      </c>
      <c r="O780">
        <f t="shared" ca="1" si="78"/>
        <v>0.95454545454545459</v>
      </c>
    </row>
    <row r="781" spans="1:15" x14ac:dyDescent="0.2">
      <c r="A781" t="str">
        <f ca="1">IFERROR(__xludf.DUMMYFUNCTION("""COMPUTED_VALUE"""),"mi")</f>
        <v>mi</v>
      </c>
      <c r="B781" t="str">
        <f ca="1">IFERROR(__xludf.DUMMYFUNCTION("""COMPUTED_VALUE"""),"Model 3 P")</f>
        <v>Model 3 P</v>
      </c>
      <c r="C781">
        <f ca="1">IFERROR(__xludf.DUMMYFUNCTION("""COMPUTED_VALUE"""),311)</f>
        <v>311</v>
      </c>
      <c r="D781">
        <f ca="1">IFERROR(__xludf.DUMMYFUNCTION("""COMPUTED_VALUE"""),10372)</f>
        <v>10372</v>
      </c>
      <c r="E781">
        <f ca="1">IFERROR(__xludf.DUMMYFUNCTION("""COMPUTED_VALUE"""),295.92)</f>
        <v>295.92</v>
      </c>
      <c r="F781">
        <v>310</v>
      </c>
      <c r="G781">
        <v>0.95458064516129038</v>
      </c>
      <c r="H781">
        <v>10372</v>
      </c>
      <c r="I781">
        <v>16692</v>
      </c>
      <c r="J781">
        <v>10372</v>
      </c>
      <c r="K781">
        <v>0.98881183842199372</v>
      </c>
      <c r="L781">
        <f ca="1">IFERROR(__xludf.DUMMYFUNCTION("""COMPUTED_VALUE"""),295.92)</f>
        <v>295.92</v>
      </c>
      <c r="M781">
        <v>310</v>
      </c>
      <c r="N781">
        <v>10372</v>
      </c>
      <c r="O781">
        <f t="shared" ca="1" si="78"/>
        <v>0.95458064516129038</v>
      </c>
    </row>
    <row r="782" spans="1:15" x14ac:dyDescent="0.2">
      <c r="A782" t="str">
        <f ca="1">IFERROR(__xludf.DUMMYFUNCTION("""COMPUTED_VALUE"""),"km")</f>
        <v>km</v>
      </c>
      <c r="B782" t="str">
        <f ca="1">IFERROR(__xludf.DUMMYFUNCTION("""COMPUTED_VALUE"""),"Model S 75")</f>
        <v>Model S 75</v>
      </c>
      <c r="C782">
        <f ca="1">IFERROR(__xludf.DUMMYFUNCTION("""COMPUTED_VALUE"""),374)</f>
        <v>374</v>
      </c>
      <c r="D782">
        <f ca="1">IFERROR(__xludf.DUMMYFUNCTION("""COMPUTED_VALUE"""),50000)</f>
        <v>50000</v>
      </c>
      <c r="E782">
        <f ca="1">IFERROR(__xludf.DUMMYFUNCTION("""COMPUTED_VALUE"""),358)</f>
        <v>358</v>
      </c>
      <c r="F782">
        <v>375</v>
      </c>
      <c r="G782">
        <v>0.95466666666666666</v>
      </c>
      <c r="H782">
        <v>31069</v>
      </c>
      <c r="I782">
        <v>50000</v>
      </c>
      <c r="J782">
        <v>31069</v>
      </c>
      <c r="K782">
        <v>0.96801478944655506</v>
      </c>
      <c r="L782">
        <f ca="1">E782*0.621371</f>
        <v>222.450818</v>
      </c>
      <c r="M782">
        <f>F782*0.621371</f>
        <v>233.01412500000001</v>
      </c>
      <c r="N782">
        <v>31069</v>
      </c>
      <c r="O782">
        <f t="shared" ca="1" si="78"/>
        <v>0.95466666666666666</v>
      </c>
    </row>
    <row r="783" spans="1:15" x14ac:dyDescent="0.2">
      <c r="A783" t="str">
        <f ca="1">IFERROR(__xludf.DUMMYFUNCTION("""COMPUTED_VALUE"""),"mi")</f>
        <v>mi</v>
      </c>
      <c r="B783" t="str">
        <f ca="1">IFERROR(__xludf.DUMMYFUNCTION("""COMPUTED_VALUE"""),"Model S P85")</f>
        <v>Model S P85</v>
      </c>
      <c r="D783">
        <f ca="1">IFERROR(__xludf.DUMMYFUNCTION("""COMPUTED_VALUE"""),61103)</f>
        <v>61103</v>
      </c>
      <c r="E783">
        <f ca="1">IFERROR(__xludf.DUMMYFUNCTION("""COMPUTED_VALUE"""),254)</f>
        <v>254</v>
      </c>
      <c r="F783">
        <v>266</v>
      </c>
      <c r="G783">
        <v>0.95488721804511278</v>
      </c>
      <c r="H783">
        <v>61103</v>
      </c>
      <c r="I783">
        <v>98336</v>
      </c>
      <c r="J783">
        <v>61103</v>
      </c>
      <c r="K783">
        <v>0.94159375163296666</v>
      </c>
      <c r="L783">
        <f ca="1">IFERROR(__xludf.DUMMYFUNCTION("""COMPUTED_VALUE"""),254)</f>
        <v>254</v>
      </c>
      <c r="M783">
        <v>266</v>
      </c>
      <c r="N783">
        <v>61103</v>
      </c>
      <c r="O783">
        <f t="shared" ca="1" si="78"/>
        <v>0.95488721804511278</v>
      </c>
    </row>
    <row r="784" spans="1:15" x14ac:dyDescent="0.2">
      <c r="A784" t="str">
        <f ca="1">IFERROR(__xludf.DUMMYFUNCTION("""COMPUTED_VALUE"""),"mi")</f>
        <v>mi</v>
      </c>
      <c r="B784" t="str">
        <f ca="1">IFERROR(__xludf.DUMMYFUNCTION("""COMPUTED_VALUE"""),"Model S P85")</f>
        <v>Model S P85</v>
      </c>
      <c r="C784">
        <f ca="1">IFERROR(__xludf.DUMMYFUNCTION("""COMPUTED_VALUE"""),267)</f>
        <v>267</v>
      </c>
      <c r="D784">
        <f ca="1">IFERROR(__xludf.DUMMYFUNCTION("""COMPUTED_VALUE"""),29800)</f>
        <v>29800</v>
      </c>
      <c r="E784">
        <f ca="1">IFERROR(__xludf.DUMMYFUNCTION("""COMPUTED_VALUE"""),254)</f>
        <v>254</v>
      </c>
      <c r="F784">
        <v>266</v>
      </c>
      <c r="G784">
        <v>0.95488721804511278</v>
      </c>
      <c r="H784">
        <v>29800</v>
      </c>
      <c r="I784">
        <v>47958</v>
      </c>
      <c r="J784">
        <v>29800</v>
      </c>
      <c r="K784">
        <v>0.96923012393758112</v>
      </c>
      <c r="L784">
        <f ca="1">IFERROR(__xludf.DUMMYFUNCTION("""COMPUTED_VALUE"""),254)</f>
        <v>254</v>
      </c>
      <c r="M784">
        <v>266</v>
      </c>
      <c r="N784">
        <v>29800</v>
      </c>
      <c r="O784">
        <f t="shared" ca="1" si="78"/>
        <v>0.95488721804511278</v>
      </c>
    </row>
    <row r="785" spans="1:15" x14ac:dyDescent="0.2">
      <c r="A785" t="str">
        <f ca="1">IFERROR(__xludf.DUMMYFUNCTION("""COMPUTED_VALUE"""),"mi")</f>
        <v>mi</v>
      </c>
      <c r="B785" t="str">
        <f ca="1">IFERROR(__xludf.DUMMYFUNCTION("""COMPUTED_VALUE"""),"Model S 85")</f>
        <v>Model S 85</v>
      </c>
      <c r="C785">
        <f ca="1">IFERROR(__xludf.DUMMYFUNCTION("""COMPUTED_VALUE"""),270)</f>
        <v>270</v>
      </c>
      <c r="D785">
        <f ca="1">IFERROR(__xludf.DUMMYFUNCTION("""COMPUTED_VALUE"""),46559)</f>
        <v>46559</v>
      </c>
      <c r="E785">
        <f ca="1">IFERROR(__xludf.DUMMYFUNCTION("""COMPUTED_VALUE"""),254)</f>
        <v>254</v>
      </c>
      <c r="F785">
        <v>266</v>
      </c>
      <c r="G785">
        <v>0.95488721804511278</v>
      </c>
      <c r="H785">
        <v>46559</v>
      </c>
      <c r="I785">
        <v>74929</v>
      </c>
      <c r="J785">
        <v>46559</v>
      </c>
      <c r="K785">
        <v>0.95382012537200911</v>
      </c>
      <c r="L785">
        <f ca="1">IFERROR(__xludf.DUMMYFUNCTION("""COMPUTED_VALUE"""),254)</f>
        <v>254</v>
      </c>
      <c r="M785">
        <v>266</v>
      </c>
      <c r="N785">
        <v>46559</v>
      </c>
      <c r="O785">
        <f t="shared" ca="1" si="78"/>
        <v>0.95488721804511278</v>
      </c>
    </row>
    <row r="786" spans="1:15" x14ac:dyDescent="0.2">
      <c r="A786" t="str">
        <f ca="1">IFERROR(__xludf.DUMMYFUNCTION("""COMPUTED_VALUE"""),"mi")</f>
        <v>mi</v>
      </c>
      <c r="B786" t="str">
        <f ca="1">IFERROR(__xludf.DUMMYFUNCTION("""COMPUTED_VALUE"""),"Model S 85")</f>
        <v>Model S 85</v>
      </c>
      <c r="C786">
        <f ca="1">IFERROR(__xludf.DUMMYFUNCTION("""COMPUTED_VALUE"""),270)</f>
        <v>270</v>
      </c>
      <c r="D786">
        <f ca="1">IFERROR(__xludf.DUMMYFUNCTION("""COMPUTED_VALUE"""),78926)</f>
        <v>78926</v>
      </c>
      <c r="E786">
        <f ca="1">IFERROR(__xludf.DUMMYFUNCTION("""COMPUTED_VALUE"""),254)</f>
        <v>254</v>
      </c>
      <c r="F786">
        <v>266</v>
      </c>
      <c r="G786">
        <v>0.95488721804511278</v>
      </c>
      <c r="H786">
        <v>78926</v>
      </c>
      <c r="I786">
        <v>127019</v>
      </c>
      <c r="J786">
        <v>78926</v>
      </c>
      <c r="K786">
        <v>0.92810938445079028</v>
      </c>
      <c r="L786">
        <f ca="1">IFERROR(__xludf.DUMMYFUNCTION("""COMPUTED_VALUE"""),254)</f>
        <v>254</v>
      </c>
      <c r="M786">
        <v>266</v>
      </c>
      <c r="N786">
        <v>78926</v>
      </c>
      <c r="O786">
        <f t="shared" ca="1" si="78"/>
        <v>0.95488721804511278</v>
      </c>
    </row>
    <row r="787" spans="1:15" x14ac:dyDescent="0.2">
      <c r="A787" t="str">
        <f ca="1">IFERROR(__xludf.DUMMYFUNCTION("""COMPUTED_VALUE"""),"mi")</f>
        <v>mi</v>
      </c>
      <c r="B787" t="str">
        <f ca="1">IFERROR(__xludf.DUMMYFUNCTION("""COMPUTED_VALUE"""),"Model S 85")</f>
        <v>Model S 85</v>
      </c>
      <c r="C787">
        <f ca="1">IFERROR(__xludf.DUMMYFUNCTION("""COMPUTED_VALUE"""),270)</f>
        <v>270</v>
      </c>
      <c r="D787">
        <f ca="1">IFERROR(__xludf.DUMMYFUNCTION("""COMPUTED_VALUE"""),44883)</f>
        <v>44883</v>
      </c>
      <c r="E787">
        <f ca="1">IFERROR(__xludf.DUMMYFUNCTION("""COMPUTED_VALUE"""),254)</f>
        <v>254</v>
      </c>
      <c r="F787">
        <v>266</v>
      </c>
      <c r="G787">
        <v>0.95488721804511278</v>
      </c>
      <c r="H787">
        <v>44883</v>
      </c>
      <c r="I787">
        <v>72232</v>
      </c>
      <c r="J787">
        <v>44883</v>
      </c>
      <c r="K787">
        <v>0.95529800000506726</v>
      </c>
      <c r="L787">
        <f ca="1">IFERROR(__xludf.DUMMYFUNCTION("""COMPUTED_VALUE"""),254)</f>
        <v>254</v>
      </c>
      <c r="M787">
        <v>266</v>
      </c>
      <c r="N787">
        <v>44883</v>
      </c>
      <c r="O787">
        <f t="shared" ca="1" si="78"/>
        <v>0.95488721804511278</v>
      </c>
    </row>
    <row r="788" spans="1:15" x14ac:dyDescent="0.2">
      <c r="A788" t="str">
        <f ca="1">IFERROR(__xludf.DUMMYFUNCTION("""COMPUTED_VALUE"""),"mi")</f>
        <v>mi</v>
      </c>
      <c r="B788" t="str">
        <f ca="1">IFERROR(__xludf.DUMMYFUNCTION("""COMPUTED_VALUE"""),"Model S 85")</f>
        <v>Model S 85</v>
      </c>
      <c r="C788">
        <f ca="1">IFERROR(__xludf.DUMMYFUNCTION("""COMPUTED_VALUE"""),270)</f>
        <v>270</v>
      </c>
      <c r="D788">
        <f ca="1">IFERROR(__xludf.DUMMYFUNCTION("""COMPUTED_VALUE"""),36269)</f>
        <v>36269</v>
      </c>
      <c r="E788">
        <f ca="1">IFERROR(__xludf.DUMMYFUNCTION("""COMPUTED_VALUE"""),254)</f>
        <v>254</v>
      </c>
      <c r="F788">
        <v>266</v>
      </c>
      <c r="G788">
        <v>0.95488721804511278</v>
      </c>
      <c r="H788">
        <v>36269</v>
      </c>
      <c r="I788">
        <v>58369</v>
      </c>
      <c r="J788">
        <v>36269</v>
      </c>
      <c r="K788">
        <v>0.96311653463076097</v>
      </c>
      <c r="L788">
        <f ca="1">IFERROR(__xludf.DUMMYFUNCTION("""COMPUTED_VALUE"""),254)</f>
        <v>254</v>
      </c>
      <c r="M788">
        <v>266</v>
      </c>
      <c r="N788">
        <v>36269</v>
      </c>
      <c r="O788">
        <f t="shared" ca="1" si="78"/>
        <v>0.95488721804511278</v>
      </c>
    </row>
    <row r="789" spans="1:15" x14ac:dyDescent="0.2">
      <c r="A789" t="str">
        <f ca="1">IFERROR(__xludf.DUMMYFUNCTION("""COMPUTED_VALUE"""),"mi")</f>
        <v>mi</v>
      </c>
      <c r="B789" t="str">
        <f ca="1">IFERROR(__xludf.DUMMYFUNCTION("""COMPUTED_VALUE"""),"Model S 85")</f>
        <v>Model S 85</v>
      </c>
      <c r="C789">
        <f ca="1">IFERROR(__xludf.DUMMYFUNCTION("""COMPUTED_VALUE"""),270)</f>
        <v>270</v>
      </c>
      <c r="D789">
        <f ca="1">IFERROR(__xludf.DUMMYFUNCTION("""COMPUTED_VALUE"""),34622)</f>
        <v>34622</v>
      </c>
      <c r="E789">
        <f ca="1">IFERROR(__xludf.DUMMYFUNCTION("""COMPUTED_VALUE"""),254)</f>
        <v>254</v>
      </c>
      <c r="F789">
        <v>266</v>
      </c>
      <c r="G789">
        <v>0.95488721804511278</v>
      </c>
      <c r="H789">
        <v>34622</v>
      </c>
      <c r="I789">
        <v>55719</v>
      </c>
      <c r="J789">
        <v>34622</v>
      </c>
      <c r="K789">
        <v>0.96465311210264149</v>
      </c>
      <c r="L789">
        <f ca="1">IFERROR(__xludf.DUMMYFUNCTION("""COMPUTED_VALUE"""),254)</f>
        <v>254</v>
      </c>
      <c r="M789">
        <v>266</v>
      </c>
      <c r="N789">
        <v>34622</v>
      </c>
      <c r="O789">
        <f t="shared" ca="1" si="78"/>
        <v>0.95488721804511278</v>
      </c>
    </row>
    <row r="790" spans="1:15" x14ac:dyDescent="0.2">
      <c r="A790" t="str">
        <f ca="1">IFERROR(__xludf.DUMMYFUNCTION("""COMPUTED_VALUE"""),"mi")</f>
        <v>mi</v>
      </c>
      <c r="B790" t="str">
        <f ca="1">IFERROR(__xludf.DUMMYFUNCTION("""COMPUTED_VALUE"""),"Model S 85")</f>
        <v>Model S 85</v>
      </c>
      <c r="C790">
        <f ca="1">IFERROR(__xludf.DUMMYFUNCTION("""COMPUTED_VALUE"""),270)</f>
        <v>270</v>
      </c>
      <c r="D790">
        <f ca="1">IFERROR(__xludf.DUMMYFUNCTION("""COMPUTED_VALUE"""),32660)</f>
        <v>32660</v>
      </c>
      <c r="E790">
        <f ca="1">IFERROR(__xludf.DUMMYFUNCTION("""COMPUTED_VALUE"""),254)</f>
        <v>254</v>
      </c>
      <c r="F790">
        <v>266</v>
      </c>
      <c r="G790">
        <v>0.95488721804511278</v>
      </c>
      <c r="H790">
        <v>32660</v>
      </c>
      <c r="I790">
        <v>52561</v>
      </c>
      <c r="J790">
        <v>32660</v>
      </c>
      <c r="K790">
        <v>0.9665017283984878</v>
      </c>
      <c r="L790">
        <f ca="1">IFERROR(__xludf.DUMMYFUNCTION("""COMPUTED_VALUE"""),254)</f>
        <v>254</v>
      </c>
      <c r="M790">
        <v>266</v>
      </c>
      <c r="N790">
        <v>32660</v>
      </c>
      <c r="O790">
        <f t="shared" ca="1" si="78"/>
        <v>0.95488721804511278</v>
      </c>
    </row>
    <row r="791" spans="1:15" x14ac:dyDescent="0.2">
      <c r="A791" t="str">
        <f ca="1">IFERROR(__xludf.DUMMYFUNCTION("""COMPUTED_VALUE"""),"km")</f>
        <v>km</v>
      </c>
      <c r="B791" t="str">
        <f ca="1">IFERROR(__xludf.DUMMYFUNCTION("""COMPUTED_VALUE"""),"Model S 90D")</f>
        <v>Model S 90D</v>
      </c>
      <c r="C791">
        <f ca="1">IFERROR(__xludf.DUMMYFUNCTION("""COMPUTED_VALUE"""),457)</f>
        <v>457</v>
      </c>
      <c r="D791">
        <f ca="1">IFERROR(__xludf.DUMMYFUNCTION("""COMPUTED_VALUE"""),37500)</f>
        <v>37500</v>
      </c>
      <c r="E791">
        <f ca="1">IFERROR(__xludf.DUMMYFUNCTION("""COMPUTED_VALUE"""),427)</f>
        <v>427</v>
      </c>
      <c r="F791">
        <v>447</v>
      </c>
      <c r="G791">
        <v>0.95525727069351229</v>
      </c>
      <c r="H791">
        <v>23301</v>
      </c>
      <c r="I791">
        <v>37500</v>
      </c>
      <c r="J791">
        <v>23301</v>
      </c>
      <c r="K791">
        <v>0.9755775192468441</v>
      </c>
      <c r="L791">
        <f t="shared" ref="L791:L812" ca="1" si="79">E791*0.621371</f>
        <v>265.32541700000002</v>
      </c>
      <c r="M791">
        <f t="shared" ref="M791:M812" si="80">F791*0.621371</f>
        <v>277.752837</v>
      </c>
      <c r="N791">
        <v>23301</v>
      </c>
      <c r="O791">
        <f t="shared" ca="1" si="78"/>
        <v>0.95525727069351241</v>
      </c>
    </row>
    <row r="792" spans="1:15" x14ac:dyDescent="0.2">
      <c r="A792" t="str">
        <f ca="1">IFERROR(__xludf.DUMMYFUNCTION("""COMPUTED_VALUE"""),"km")</f>
        <v>km</v>
      </c>
      <c r="B792" t="str">
        <f ca="1">IFERROR(__xludf.DUMMYFUNCTION("""COMPUTED_VALUE"""),"Model S 90D")</f>
        <v>Model S 90D</v>
      </c>
      <c r="C792">
        <f ca="1">IFERROR(__xludf.DUMMYFUNCTION("""COMPUTED_VALUE"""),432)</f>
        <v>432</v>
      </c>
      <c r="D792">
        <f ca="1">IFERROR(__xludf.DUMMYFUNCTION("""COMPUTED_VALUE"""),53328)</f>
        <v>53328</v>
      </c>
      <c r="E792">
        <f ca="1">IFERROR(__xludf.DUMMYFUNCTION("""COMPUTED_VALUE"""),427)</f>
        <v>427</v>
      </c>
      <c r="F792">
        <v>447</v>
      </c>
      <c r="G792">
        <v>0.95525727069351229</v>
      </c>
      <c r="H792">
        <v>33136</v>
      </c>
      <c r="I792">
        <v>53328</v>
      </c>
      <c r="J792">
        <v>33136</v>
      </c>
      <c r="K792">
        <v>0.96605100088325768</v>
      </c>
      <c r="L792">
        <f t="shared" ca="1" si="79"/>
        <v>265.32541700000002</v>
      </c>
      <c r="M792">
        <f t="shared" si="80"/>
        <v>277.752837</v>
      </c>
      <c r="N792">
        <v>33136</v>
      </c>
      <c r="O792">
        <f t="shared" ca="1" si="78"/>
        <v>0.95525727069351241</v>
      </c>
    </row>
    <row r="793" spans="1:15" x14ac:dyDescent="0.2">
      <c r="A793" t="str">
        <f ca="1">IFERROR(__xludf.DUMMYFUNCTION("""COMPUTED_VALUE"""),"km")</f>
        <v>km</v>
      </c>
      <c r="B793" t="str">
        <f ca="1">IFERROR(__xludf.DUMMYFUNCTION("""COMPUTED_VALUE"""),"Model S 90D")</f>
        <v>Model S 90D</v>
      </c>
      <c r="C793">
        <f ca="1">IFERROR(__xludf.DUMMYFUNCTION("""COMPUTED_VALUE"""),411)</f>
        <v>411</v>
      </c>
      <c r="D793">
        <f ca="1">IFERROR(__xludf.DUMMYFUNCTION("""COMPUTED_VALUE"""),43090)</f>
        <v>43090</v>
      </c>
      <c r="E793">
        <f ca="1">IFERROR(__xludf.DUMMYFUNCTION("""COMPUTED_VALUE"""),427)</f>
        <v>427</v>
      </c>
      <c r="F793">
        <v>447</v>
      </c>
      <c r="G793">
        <v>0.95525727069351229</v>
      </c>
      <c r="H793">
        <v>26775</v>
      </c>
      <c r="I793">
        <v>43090</v>
      </c>
      <c r="J793">
        <v>26775</v>
      </c>
      <c r="K793">
        <v>0.97215915340385051</v>
      </c>
      <c r="L793">
        <f t="shared" ca="1" si="79"/>
        <v>265.32541700000002</v>
      </c>
      <c r="M793">
        <f t="shared" si="80"/>
        <v>277.752837</v>
      </c>
      <c r="N793">
        <v>26775</v>
      </c>
      <c r="O793">
        <f t="shared" ca="1" si="78"/>
        <v>0.95525727069351241</v>
      </c>
    </row>
    <row r="794" spans="1:15" x14ac:dyDescent="0.2">
      <c r="A794" t="str">
        <f ca="1">IFERROR(__xludf.DUMMYFUNCTION("""COMPUTED_VALUE"""),"km")</f>
        <v>km</v>
      </c>
      <c r="B794" t="str">
        <f ca="1">IFERROR(__xludf.DUMMYFUNCTION("""COMPUTED_VALUE"""),"Model S 85D")</f>
        <v>Model S 85D</v>
      </c>
      <c r="C794">
        <f ca="1">IFERROR(__xludf.DUMMYFUNCTION("""COMPUTED_VALUE"""),405)</f>
        <v>405</v>
      </c>
      <c r="D794">
        <f ca="1">IFERROR(__xludf.DUMMYFUNCTION("""COMPUTED_VALUE"""),9535)</f>
        <v>9535</v>
      </c>
      <c r="E794">
        <f ca="1">IFERROR(__xludf.DUMMYFUNCTION("""COMPUTED_VALUE"""),406)</f>
        <v>406</v>
      </c>
      <c r="F794">
        <v>425</v>
      </c>
      <c r="G794">
        <v>0.95529411764705885</v>
      </c>
      <c r="H794">
        <v>5925</v>
      </c>
      <c r="I794">
        <v>9535</v>
      </c>
      <c r="J794">
        <v>5925</v>
      </c>
      <c r="K794">
        <v>0.99354729717348289</v>
      </c>
      <c r="L794">
        <f t="shared" ca="1" si="79"/>
        <v>252.27662599999999</v>
      </c>
      <c r="M794">
        <f t="shared" si="80"/>
        <v>264.08267499999999</v>
      </c>
      <c r="N794">
        <v>5925</v>
      </c>
      <c r="O794">
        <f t="shared" ca="1" si="78"/>
        <v>0.95529411764705885</v>
      </c>
    </row>
    <row r="795" spans="1:15" x14ac:dyDescent="0.2">
      <c r="A795" t="str">
        <f ca="1">IFERROR(__xludf.DUMMYFUNCTION("""COMPUTED_VALUE"""),"km")</f>
        <v>km</v>
      </c>
      <c r="B795" t="str">
        <f ca="1">IFERROR(__xludf.DUMMYFUNCTION("""COMPUTED_VALUE"""),"Model S 85D")</f>
        <v>Model S 85D</v>
      </c>
      <c r="D795">
        <f ca="1">IFERROR(__xludf.DUMMYFUNCTION("""COMPUTED_VALUE"""),2908)</f>
        <v>2908</v>
      </c>
      <c r="E795">
        <f ca="1">IFERROR(__xludf.DUMMYFUNCTION("""COMPUTED_VALUE"""),406)</f>
        <v>406</v>
      </c>
      <c r="F795">
        <v>425</v>
      </c>
      <c r="G795">
        <v>0.95529411764705885</v>
      </c>
      <c r="H795">
        <v>1807</v>
      </c>
      <c r="I795">
        <v>2908</v>
      </c>
      <c r="J795">
        <v>1807</v>
      </c>
      <c r="K795">
        <v>0.99801471936935737</v>
      </c>
      <c r="L795">
        <f t="shared" ca="1" si="79"/>
        <v>252.27662599999999</v>
      </c>
      <c r="M795">
        <f t="shared" si="80"/>
        <v>264.08267499999999</v>
      </c>
      <c r="N795">
        <v>1807</v>
      </c>
      <c r="O795">
        <f t="shared" ca="1" si="78"/>
        <v>0.95529411764705885</v>
      </c>
    </row>
    <row r="796" spans="1:15" x14ac:dyDescent="0.2">
      <c r="A796" t="str">
        <f ca="1">IFERROR(__xludf.DUMMYFUNCTION("""COMPUTED_VALUE"""),"km")</f>
        <v>km</v>
      </c>
      <c r="B796" t="str">
        <f ca="1">IFERROR(__xludf.DUMMYFUNCTION("""COMPUTED_VALUE"""),"Model S 85D")</f>
        <v>Model S 85D</v>
      </c>
      <c r="D796">
        <f ca="1">IFERROR(__xludf.DUMMYFUNCTION("""COMPUTED_VALUE"""),744)</f>
        <v>744</v>
      </c>
      <c r="E796">
        <f ca="1">IFERROR(__xludf.DUMMYFUNCTION("""COMPUTED_VALUE"""),406)</f>
        <v>406</v>
      </c>
      <c r="F796">
        <v>425</v>
      </c>
      <c r="G796">
        <v>0.95529411764705885</v>
      </c>
      <c r="H796">
        <v>462</v>
      </c>
      <c r="I796">
        <v>744</v>
      </c>
      <c r="J796">
        <v>462</v>
      </c>
      <c r="K796">
        <v>0.99949063143072236</v>
      </c>
      <c r="L796">
        <f t="shared" ca="1" si="79"/>
        <v>252.27662599999999</v>
      </c>
      <c r="M796">
        <f t="shared" si="80"/>
        <v>264.08267499999999</v>
      </c>
      <c r="N796">
        <v>462</v>
      </c>
      <c r="O796">
        <f t="shared" ca="1" si="78"/>
        <v>0.95529411764705885</v>
      </c>
    </row>
    <row r="797" spans="1:15" x14ac:dyDescent="0.2">
      <c r="A797" t="str">
        <f ca="1">IFERROR(__xludf.DUMMYFUNCTION("""COMPUTED_VALUE"""),"km")</f>
        <v>km</v>
      </c>
      <c r="B797" t="str">
        <f ca="1">IFERROR(__xludf.DUMMYFUNCTION("""COMPUTED_VALUE"""),"Model S P85D")</f>
        <v>Model S P85D</v>
      </c>
      <c r="C797">
        <f ca="1">IFERROR(__xludf.DUMMYFUNCTION("""COMPUTED_VALUE"""),403)</f>
        <v>403</v>
      </c>
      <c r="D797">
        <f ca="1">IFERROR(__xludf.DUMMYFUNCTION("""COMPUTED_VALUE"""),96000)</f>
        <v>96000</v>
      </c>
      <c r="E797">
        <f ca="1">IFERROR(__xludf.DUMMYFUNCTION("""COMPUTED_VALUE"""),385)</f>
        <v>385</v>
      </c>
      <c r="F797">
        <v>403</v>
      </c>
      <c r="G797">
        <v>0.95533498759305213</v>
      </c>
      <c r="H797">
        <v>59652</v>
      </c>
      <c r="I797">
        <v>96000</v>
      </c>
      <c r="J797">
        <v>59652</v>
      </c>
      <c r="K797">
        <v>0.94276516666546328</v>
      </c>
      <c r="L797">
        <f t="shared" ca="1" si="79"/>
        <v>239.227835</v>
      </c>
      <c r="M797">
        <f t="shared" si="80"/>
        <v>250.41251299999999</v>
      </c>
      <c r="N797">
        <v>59652</v>
      </c>
      <c r="O797">
        <f t="shared" ca="1" si="78"/>
        <v>0.95533498759305213</v>
      </c>
    </row>
    <row r="798" spans="1:15" x14ac:dyDescent="0.2">
      <c r="A798" t="str">
        <f ca="1">IFERROR(__xludf.DUMMYFUNCTION("""COMPUTED_VALUE"""),"km")</f>
        <v>km</v>
      </c>
      <c r="B798" t="str">
        <f ca="1">IFERROR(__xludf.DUMMYFUNCTION("""COMPUTED_VALUE"""),"Model S P85D")</f>
        <v>Model S P85D</v>
      </c>
      <c r="D798">
        <f ca="1">IFERROR(__xludf.DUMMYFUNCTION("""COMPUTED_VALUE"""),71049)</f>
        <v>71049</v>
      </c>
      <c r="E798">
        <f ca="1">IFERROR(__xludf.DUMMYFUNCTION("""COMPUTED_VALUE"""),385)</f>
        <v>385</v>
      </c>
      <c r="F798">
        <v>403</v>
      </c>
      <c r="G798">
        <v>0.95533498759305213</v>
      </c>
      <c r="H798">
        <v>44148</v>
      </c>
      <c r="I798">
        <v>71049</v>
      </c>
      <c r="J798">
        <v>44148</v>
      </c>
      <c r="K798">
        <v>0.95595070886956168</v>
      </c>
      <c r="L798">
        <f t="shared" ca="1" si="79"/>
        <v>239.227835</v>
      </c>
      <c r="M798">
        <f t="shared" si="80"/>
        <v>250.41251299999999</v>
      </c>
      <c r="N798">
        <v>44148</v>
      </c>
      <c r="O798">
        <f t="shared" ca="1" si="78"/>
        <v>0.95533498759305213</v>
      </c>
    </row>
    <row r="799" spans="1:15" x14ac:dyDescent="0.2">
      <c r="A799" t="str">
        <f ca="1">IFERROR(__xludf.DUMMYFUNCTION("""COMPUTED_VALUE"""),"km")</f>
        <v>km</v>
      </c>
      <c r="B799" t="str">
        <f ca="1">IFERROR(__xludf.DUMMYFUNCTION("""COMPUTED_VALUE"""),"Model S P85D")</f>
        <v>Model S P85D</v>
      </c>
      <c r="D799">
        <f ca="1">IFERROR(__xludf.DUMMYFUNCTION("""COMPUTED_VALUE"""),42500)</f>
        <v>42500</v>
      </c>
      <c r="E799">
        <f ca="1">IFERROR(__xludf.DUMMYFUNCTION("""COMPUTED_VALUE"""),385)</f>
        <v>385</v>
      </c>
      <c r="F799">
        <v>403</v>
      </c>
      <c r="G799">
        <v>0.95533498759305213</v>
      </c>
      <c r="H799">
        <v>26408</v>
      </c>
      <c r="I799">
        <v>42500</v>
      </c>
      <c r="J799">
        <v>26408</v>
      </c>
      <c r="K799">
        <v>0.97251718151619582</v>
      </c>
      <c r="L799">
        <f t="shared" ca="1" si="79"/>
        <v>239.227835</v>
      </c>
      <c r="M799">
        <f t="shared" si="80"/>
        <v>250.41251299999999</v>
      </c>
      <c r="N799">
        <v>26408</v>
      </c>
      <c r="O799">
        <f t="shared" ca="1" si="78"/>
        <v>0.95533498759305213</v>
      </c>
    </row>
    <row r="800" spans="1:15" x14ac:dyDescent="0.2">
      <c r="A800" t="str">
        <f ca="1">IFERROR(__xludf.DUMMYFUNCTION("""COMPUTED_VALUE"""),"km")</f>
        <v>km</v>
      </c>
      <c r="B800" t="str">
        <f ca="1">IFERROR(__xludf.DUMMYFUNCTION("""COMPUTED_VALUE"""),"Model S P85D")</f>
        <v>Model S P85D</v>
      </c>
      <c r="C800">
        <f ca="1">IFERROR(__xludf.DUMMYFUNCTION("""COMPUTED_VALUE"""),406)</f>
        <v>406</v>
      </c>
      <c r="D800">
        <f ca="1">IFERROR(__xludf.DUMMYFUNCTION("""COMPUTED_VALUE"""),50068)</f>
        <v>50068</v>
      </c>
      <c r="E800">
        <f ca="1">IFERROR(__xludf.DUMMYFUNCTION("""COMPUTED_VALUE"""),385)</f>
        <v>385</v>
      </c>
      <c r="F800">
        <v>403</v>
      </c>
      <c r="G800">
        <v>0.95533498759305213</v>
      </c>
      <c r="H800">
        <v>31111</v>
      </c>
      <c r="I800">
        <v>50068</v>
      </c>
      <c r="J800">
        <v>31111</v>
      </c>
      <c r="K800">
        <v>0.96797445375248548</v>
      </c>
      <c r="L800">
        <f t="shared" ca="1" si="79"/>
        <v>239.227835</v>
      </c>
      <c r="M800">
        <f t="shared" si="80"/>
        <v>250.41251299999999</v>
      </c>
      <c r="N800">
        <v>31111</v>
      </c>
      <c r="O800">
        <f t="shared" ca="1" si="78"/>
        <v>0.95533498759305213</v>
      </c>
    </row>
    <row r="801" spans="1:15" x14ac:dyDescent="0.2">
      <c r="A801" t="str">
        <f ca="1">IFERROR(__xludf.DUMMYFUNCTION("""COMPUTED_VALUE"""),"km")</f>
        <v>km</v>
      </c>
      <c r="B801" t="str">
        <f ca="1">IFERROR(__xludf.DUMMYFUNCTION("""COMPUTED_VALUE"""),"Model S P85D")</f>
        <v>Model S P85D</v>
      </c>
      <c r="C801">
        <f ca="1">IFERROR(__xludf.DUMMYFUNCTION("""COMPUTED_VALUE"""),398)</f>
        <v>398</v>
      </c>
      <c r="D801">
        <f ca="1">IFERROR(__xludf.DUMMYFUNCTION("""COMPUTED_VALUE"""),28000)</f>
        <v>28000</v>
      </c>
      <c r="E801">
        <f ca="1">IFERROR(__xludf.DUMMYFUNCTION("""COMPUTED_VALUE"""),385)</f>
        <v>385</v>
      </c>
      <c r="F801">
        <v>403</v>
      </c>
      <c r="G801">
        <v>0.95533498759305213</v>
      </c>
      <c r="H801">
        <v>17398</v>
      </c>
      <c r="I801">
        <v>28000</v>
      </c>
      <c r="J801">
        <v>17398</v>
      </c>
      <c r="K801">
        <v>0.98152055728909948</v>
      </c>
      <c r="L801">
        <f t="shared" ca="1" si="79"/>
        <v>239.227835</v>
      </c>
      <c r="M801">
        <f t="shared" si="80"/>
        <v>250.41251299999999</v>
      </c>
      <c r="N801">
        <v>17398</v>
      </c>
      <c r="O801">
        <f t="shared" ca="1" si="78"/>
        <v>0.95533498759305213</v>
      </c>
    </row>
    <row r="802" spans="1:15" x14ac:dyDescent="0.2">
      <c r="A802" t="str">
        <f ca="1">IFERROR(__xludf.DUMMYFUNCTION("""COMPUTED_VALUE"""),"km")</f>
        <v>km</v>
      </c>
      <c r="B802" t="str">
        <f ca="1">IFERROR(__xludf.DUMMYFUNCTION("""COMPUTED_VALUE"""),"Model 3 LR")</f>
        <v>Model 3 LR</v>
      </c>
      <c r="C802">
        <f ca="1">IFERROR(__xludf.DUMMYFUNCTION("""COMPUTED_VALUE"""),495)</f>
        <v>495</v>
      </c>
      <c r="D802">
        <f ca="1">IFERROR(__xludf.DUMMYFUNCTION("""COMPUTED_VALUE"""),36880)</f>
        <v>36880</v>
      </c>
      <c r="E802">
        <f ca="1">IFERROR(__xludf.DUMMYFUNCTION("""COMPUTED_VALUE"""),492)</f>
        <v>492</v>
      </c>
      <c r="F802">
        <v>515</v>
      </c>
      <c r="G802">
        <v>0.95533980582524269</v>
      </c>
      <c r="H802">
        <v>22916</v>
      </c>
      <c r="I802">
        <v>36880</v>
      </c>
      <c r="J802">
        <v>22916</v>
      </c>
      <c r="K802">
        <v>0.97596025984122847</v>
      </c>
      <c r="L802">
        <f t="shared" ca="1" si="79"/>
        <v>305.71453200000002</v>
      </c>
      <c r="M802">
        <f t="shared" si="80"/>
        <v>320.00606499999998</v>
      </c>
      <c r="N802">
        <v>22916</v>
      </c>
      <c r="O802">
        <f t="shared" ca="1" si="78"/>
        <v>0.9553398058252428</v>
      </c>
    </row>
    <row r="803" spans="1:15" x14ac:dyDescent="0.2">
      <c r="A803" t="str">
        <f ca="1">IFERROR(__xludf.DUMMYFUNCTION("""COMPUTED_VALUE"""),"km")</f>
        <v>km</v>
      </c>
      <c r="B803" t="str">
        <f ca="1">IFERROR(__xludf.DUMMYFUNCTION("""COMPUTED_VALUE"""),"Model 3 SR+")</f>
        <v>Model 3 SR+</v>
      </c>
      <c r="C803">
        <f ca="1">IFERROR(__xludf.DUMMYFUNCTION("""COMPUTED_VALUE"""),381)</f>
        <v>381</v>
      </c>
      <c r="D803">
        <f ca="1">IFERROR(__xludf.DUMMYFUNCTION("""COMPUTED_VALUE"""),28720)</f>
        <v>28720</v>
      </c>
      <c r="E803">
        <f ca="1">IFERROR(__xludf.DUMMYFUNCTION("""COMPUTED_VALUE"""),364)</f>
        <v>364</v>
      </c>
      <c r="F803">
        <v>381</v>
      </c>
      <c r="G803">
        <v>0.95538057742782156</v>
      </c>
      <c r="H803">
        <v>17846</v>
      </c>
      <c r="I803">
        <v>28720</v>
      </c>
      <c r="J803">
        <v>17846</v>
      </c>
      <c r="K803">
        <v>0.98106427588460587</v>
      </c>
      <c r="L803">
        <f t="shared" ca="1" si="79"/>
        <v>226.179044</v>
      </c>
      <c r="M803">
        <f t="shared" si="80"/>
        <v>236.74235100000001</v>
      </c>
      <c r="N803">
        <v>17846</v>
      </c>
      <c r="O803">
        <f t="shared" ca="1" si="78"/>
        <v>0.95538057742782145</v>
      </c>
    </row>
    <row r="804" spans="1:15" x14ac:dyDescent="0.2">
      <c r="A804" t="str">
        <f ca="1">IFERROR(__xludf.DUMMYFUNCTION("""COMPUTED_VALUE"""),"km")</f>
        <v>km</v>
      </c>
      <c r="B804" t="str">
        <f ca="1">IFERROR(__xludf.DUMMYFUNCTION("""COMPUTED_VALUE"""),"Model S 90D 2015")</f>
        <v>Model S 90D 2015</v>
      </c>
      <c r="C804">
        <f ca="1">IFERROR(__xludf.DUMMYFUNCTION("""COMPUTED_VALUE"""),409)</f>
        <v>409</v>
      </c>
      <c r="D804">
        <f ca="1">IFERROR(__xludf.DUMMYFUNCTION("""COMPUTED_VALUE"""),13889)</f>
        <v>13889</v>
      </c>
      <c r="E804">
        <f ca="1">IFERROR(__xludf.DUMMYFUNCTION("""COMPUTED_VALUE"""),408)</f>
        <v>408</v>
      </c>
      <c r="F804">
        <v>427</v>
      </c>
      <c r="G804">
        <v>0.95550351288056201</v>
      </c>
      <c r="H804">
        <v>8630</v>
      </c>
      <c r="I804">
        <v>13889</v>
      </c>
      <c r="J804">
        <v>8630</v>
      </c>
      <c r="K804">
        <v>0.99065536801748544</v>
      </c>
      <c r="L804">
        <f t="shared" ca="1" si="79"/>
        <v>253.51936800000001</v>
      </c>
      <c r="M804">
        <f t="shared" si="80"/>
        <v>265.32541700000002</v>
      </c>
      <c r="N804">
        <v>8630</v>
      </c>
      <c r="O804">
        <f t="shared" ca="1" si="78"/>
        <v>0.95550351288056201</v>
      </c>
    </row>
    <row r="805" spans="1:15" x14ac:dyDescent="0.2">
      <c r="A805" t="str">
        <f ca="1">IFERROR(__xludf.DUMMYFUNCTION("""COMPUTED_VALUE"""),"km")</f>
        <v>km</v>
      </c>
      <c r="B805" t="str">
        <f ca="1">IFERROR(__xludf.DUMMYFUNCTION("""COMPUTED_VALUE"""),"Model S 70D")</f>
        <v>Model S 70D</v>
      </c>
      <c r="C805">
        <f ca="1">IFERROR(__xludf.DUMMYFUNCTION("""COMPUTED_VALUE"""),360)</f>
        <v>360</v>
      </c>
      <c r="D805">
        <f ca="1">IFERROR(__xludf.DUMMYFUNCTION("""COMPUTED_VALUE"""),72027)</f>
        <v>72027</v>
      </c>
      <c r="E805">
        <f ca="1">IFERROR(__xludf.DUMMYFUNCTION("""COMPUTED_VALUE"""),344)</f>
        <v>344</v>
      </c>
      <c r="F805">
        <v>360</v>
      </c>
      <c r="G805">
        <v>0.9555555555555556</v>
      </c>
      <c r="H805">
        <v>44756</v>
      </c>
      <c r="I805">
        <v>72027</v>
      </c>
      <c r="J805">
        <v>44756</v>
      </c>
      <c r="K805">
        <v>0.95541091216185037</v>
      </c>
      <c r="L805">
        <f t="shared" ca="1" si="79"/>
        <v>213.75162399999999</v>
      </c>
      <c r="M805">
        <f t="shared" si="80"/>
        <v>223.69355999999999</v>
      </c>
      <c r="N805">
        <v>44756</v>
      </c>
      <c r="O805">
        <f t="shared" ca="1" si="78"/>
        <v>0.9555555555555556</v>
      </c>
    </row>
    <row r="806" spans="1:15" x14ac:dyDescent="0.2">
      <c r="A806" t="str">
        <f ca="1">IFERROR(__xludf.DUMMYFUNCTION("""COMPUTED_VALUE"""),"km")</f>
        <v>km</v>
      </c>
      <c r="B806" t="str">
        <f ca="1">IFERROR(__xludf.DUMMYFUNCTION("""COMPUTED_VALUE"""),"Model S 70D")</f>
        <v>Model S 70D</v>
      </c>
      <c r="C806">
        <f ca="1">IFERROR(__xludf.DUMMYFUNCTION("""COMPUTED_VALUE"""),360)</f>
        <v>360</v>
      </c>
      <c r="D806">
        <f ca="1">IFERROR(__xludf.DUMMYFUNCTION("""COMPUTED_VALUE"""),20000)</f>
        <v>20000</v>
      </c>
      <c r="E806">
        <f ca="1">IFERROR(__xludf.DUMMYFUNCTION("""COMPUTED_VALUE"""),344)</f>
        <v>344</v>
      </c>
      <c r="F806">
        <v>360</v>
      </c>
      <c r="G806">
        <v>0.9555555555555556</v>
      </c>
      <c r="H806">
        <v>12427</v>
      </c>
      <c r="I806">
        <v>20000</v>
      </c>
      <c r="J806">
        <v>12427</v>
      </c>
      <c r="K806">
        <v>0.98665460835518037</v>
      </c>
      <c r="L806">
        <f t="shared" ca="1" si="79"/>
        <v>213.75162399999999</v>
      </c>
      <c r="M806">
        <f t="shared" si="80"/>
        <v>223.69355999999999</v>
      </c>
      <c r="N806">
        <v>12427</v>
      </c>
      <c r="O806">
        <f t="shared" ca="1" si="78"/>
        <v>0.9555555555555556</v>
      </c>
    </row>
    <row r="807" spans="1:15" x14ac:dyDescent="0.2">
      <c r="A807" t="str">
        <f ca="1">IFERROR(__xludf.DUMMYFUNCTION("""COMPUTED_VALUE"""),"km")</f>
        <v>km</v>
      </c>
      <c r="B807" t="str">
        <f ca="1">IFERROR(__xludf.DUMMYFUNCTION("""COMPUTED_VALUE"""),"Model S 85")</f>
        <v>Model S 85</v>
      </c>
      <c r="C807">
        <f ca="1">IFERROR(__xludf.DUMMYFUNCTION("""COMPUTED_VALUE"""),425)</f>
        <v>425</v>
      </c>
      <c r="D807">
        <f ca="1">IFERROR(__xludf.DUMMYFUNCTION("""COMPUTED_VALUE"""),45756)</f>
        <v>45756</v>
      </c>
      <c r="E807">
        <f ca="1">IFERROR(__xludf.DUMMYFUNCTION("""COMPUTED_VALUE"""),409)</f>
        <v>409</v>
      </c>
      <c r="F807">
        <v>428</v>
      </c>
      <c r="G807">
        <v>0.95560747663551404</v>
      </c>
      <c r="H807">
        <v>28431</v>
      </c>
      <c r="I807">
        <v>45756</v>
      </c>
      <c r="J807">
        <v>28431</v>
      </c>
      <c r="K807">
        <v>0.97054951461926464</v>
      </c>
      <c r="L807">
        <f t="shared" ca="1" si="79"/>
        <v>254.140739</v>
      </c>
      <c r="M807">
        <f t="shared" si="80"/>
        <v>265.94678800000003</v>
      </c>
      <c r="N807">
        <v>28431</v>
      </c>
      <c r="O807">
        <f t="shared" ca="1" si="78"/>
        <v>0.95560747663551393</v>
      </c>
    </row>
    <row r="808" spans="1:15" x14ac:dyDescent="0.2">
      <c r="A808" t="str">
        <f ca="1">IFERROR(__xludf.DUMMYFUNCTION("""COMPUTED_VALUE"""),"km")</f>
        <v>km</v>
      </c>
      <c r="B808" t="str">
        <f ca="1">IFERROR(__xludf.DUMMYFUNCTION("""COMPUTED_VALUE"""),"Model S 75D")</f>
        <v>Model S 75D</v>
      </c>
      <c r="C808">
        <f ca="1">IFERROR(__xludf.DUMMYFUNCTION("""COMPUTED_VALUE"""),382)</f>
        <v>382</v>
      </c>
      <c r="D808">
        <f ca="1">IFERROR(__xludf.DUMMYFUNCTION("""COMPUTED_VALUE"""),25456)</f>
        <v>25456</v>
      </c>
      <c r="E808">
        <f ca="1">IFERROR(__xludf.DUMMYFUNCTION("""COMPUTED_VALUE"""),367)</f>
        <v>367</v>
      </c>
      <c r="F808">
        <v>384</v>
      </c>
      <c r="G808">
        <v>0.95572916666666663</v>
      </c>
      <c r="H808">
        <v>15818</v>
      </c>
      <c r="I808">
        <v>25456</v>
      </c>
      <c r="J808">
        <v>15818</v>
      </c>
      <c r="K808">
        <v>0.98314041604594937</v>
      </c>
      <c r="L808">
        <f t="shared" ca="1" si="79"/>
        <v>228.04315700000001</v>
      </c>
      <c r="M808">
        <f t="shared" si="80"/>
        <v>238.60646400000002</v>
      </c>
      <c r="N808">
        <v>15818</v>
      </c>
      <c r="O808">
        <f t="shared" ca="1" si="78"/>
        <v>0.95572916666666663</v>
      </c>
    </row>
    <row r="809" spans="1:15" x14ac:dyDescent="0.2">
      <c r="A809" t="str">
        <f ca="1">IFERROR(__xludf.DUMMYFUNCTION("""COMPUTED_VALUE"""),"km")</f>
        <v>km</v>
      </c>
      <c r="B809" t="str">
        <f ca="1">IFERROR(__xludf.DUMMYFUNCTION("""COMPUTED_VALUE"""),"Model S 75D")</f>
        <v>Model S 75D</v>
      </c>
      <c r="C809">
        <f ca="1">IFERROR(__xludf.DUMMYFUNCTION("""COMPUTED_VALUE"""),382)</f>
        <v>382</v>
      </c>
      <c r="D809">
        <f ca="1">IFERROR(__xludf.DUMMYFUNCTION("""COMPUTED_VALUE"""),25247)</f>
        <v>25247</v>
      </c>
      <c r="E809">
        <f ca="1">IFERROR(__xludf.DUMMYFUNCTION("""COMPUTED_VALUE"""),367)</f>
        <v>367</v>
      </c>
      <c r="F809">
        <v>384</v>
      </c>
      <c r="G809">
        <v>0.95572916666666663</v>
      </c>
      <c r="H809">
        <v>15688</v>
      </c>
      <c r="I809">
        <v>25247</v>
      </c>
      <c r="J809">
        <v>15688</v>
      </c>
      <c r="K809">
        <v>0.98327402445573631</v>
      </c>
      <c r="L809">
        <f t="shared" ca="1" si="79"/>
        <v>228.04315700000001</v>
      </c>
      <c r="M809">
        <f t="shared" si="80"/>
        <v>238.60646400000002</v>
      </c>
      <c r="N809">
        <v>15688</v>
      </c>
      <c r="O809">
        <f t="shared" ca="1" si="78"/>
        <v>0.95572916666666663</v>
      </c>
    </row>
    <row r="810" spans="1:15" x14ac:dyDescent="0.2">
      <c r="A810" t="str">
        <f ca="1">IFERROR(__xludf.DUMMYFUNCTION("""COMPUTED_VALUE"""),"km")</f>
        <v>km</v>
      </c>
      <c r="B810" t="str">
        <f ca="1">IFERROR(__xludf.DUMMYFUNCTION("""COMPUTED_VALUE"""),"Model 3 LR AWD")</f>
        <v>Model 3 LR AWD</v>
      </c>
      <c r="C810">
        <f ca="1">IFERROR(__xludf.DUMMYFUNCTION("""COMPUTED_VALUE"""),502)</f>
        <v>502</v>
      </c>
      <c r="D810">
        <f ca="1">IFERROR(__xludf.DUMMYFUNCTION("""COMPUTED_VALUE"""),41937)</f>
        <v>41937</v>
      </c>
      <c r="E810">
        <f ca="1">IFERROR(__xludf.DUMMYFUNCTION("""COMPUTED_VALUE"""),477)</f>
        <v>477</v>
      </c>
      <c r="F810">
        <v>499</v>
      </c>
      <c r="G810">
        <v>0.95591182364729455</v>
      </c>
      <c r="H810">
        <v>26058</v>
      </c>
      <c r="I810">
        <v>41937</v>
      </c>
      <c r="J810">
        <v>26058</v>
      </c>
      <c r="K810">
        <v>0.97285943483602721</v>
      </c>
      <c r="L810">
        <f t="shared" ca="1" si="79"/>
        <v>296.39396699999998</v>
      </c>
      <c r="M810">
        <f t="shared" si="80"/>
        <v>310.06412899999998</v>
      </c>
      <c r="N810">
        <v>26058</v>
      </c>
      <c r="O810">
        <f t="shared" ca="1" si="78"/>
        <v>0.95591182364729455</v>
      </c>
    </row>
    <row r="811" spans="1:15" x14ac:dyDescent="0.2">
      <c r="A811" t="str">
        <f ca="1">IFERROR(__xludf.DUMMYFUNCTION("""COMPUTED_VALUE"""),"km")</f>
        <v>km</v>
      </c>
      <c r="B811" t="str">
        <f ca="1">IFERROR(__xludf.DUMMYFUNCTION("""COMPUTED_VALUE"""),"Model 3 LR AWD")</f>
        <v>Model 3 LR AWD</v>
      </c>
      <c r="D811">
        <f ca="1">IFERROR(__xludf.DUMMYFUNCTION("""COMPUTED_VALUE"""),14600)</f>
        <v>14600</v>
      </c>
      <c r="E811">
        <f ca="1">IFERROR(__xludf.DUMMYFUNCTION("""COMPUTED_VALUE"""),477)</f>
        <v>477</v>
      </c>
      <c r="F811">
        <v>499</v>
      </c>
      <c r="G811">
        <v>0.95591182364729455</v>
      </c>
      <c r="H811">
        <v>9072</v>
      </c>
      <c r="I811">
        <v>14600</v>
      </c>
      <c r="J811">
        <v>9072</v>
      </c>
      <c r="K811">
        <v>0.99018639037294709</v>
      </c>
      <c r="L811">
        <f t="shared" ca="1" si="79"/>
        <v>296.39396699999998</v>
      </c>
      <c r="M811">
        <f t="shared" si="80"/>
        <v>310.06412899999998</v>
      </c>
      <c r="N811">
        <v>9072</v>
      </c>
      <c r="O811">
        <f t="shared" ca="1" si="78"/>
        <v>0.95591182364729455</v>
      </c>
    </row>
    <row r="812" spans="1:15" x14ac:dyDescent="0.2">
      <c r="A812" t="str">
        <f ca="1">IFERROR(__xludf.DUMMYFUNCTION("""COMPUTED_VALUE"""),"km")</f>
        <v>km</v>
      </c>
      <c r="B812" t="str">
        <f ca="1">IFERROR(__xludf.DUMMYFUNCTION("""COMPUTED_VALUE"""),"Model 3 LR AWD")</f>
        <v>Model 3 LR AWD</v>
      </c>
      <c r="C812">
        <f ca="1">IFERROR(__xludf.DUMMYFUNCTION("""COMPUTED_VALUE"""),485)</f>
        <v>485</v>
      </c>
      <c r="D812">
        <f ca="1">IFERROR(__xludf.DUMMYFUNCTION("""COMPUTED_VALUE"""),13650)</f>
        <v>13650</v>
      </c>
      <c r="E812">
        <f ca="1">IFERROR(__xludf.DUMMYFUNCTION("""COMPUTED_VALUE"""),477)</f>
        <v>477</v>
      </c>
      <c r="F812">
        <v>499</v>
      </c>
      <c r="G812">
        <v>0.95591182364729455</v>
      </c>
      <c r="H812">
        <v>8482</v>
      </c>
      <c r="I812">
        <v>13650</v>
      </c>
      <c r="J812">
        <v>8482</v>
      </c>
      <c r="K812">
        <v>0.99081321952648094</v>
      </c>
      <c r="L812">
        <f t="shared" ca="1" si="79"/>
        <v>296.39396699999998</v>
      </c>
      <c r="M812">
        <f t="shared" si="80"/>
        <v>310.06412899999998</v>
      </c>
      <c r="N812">
        <v>8482</v>
      </c>
      <c r="O812">
        <f t="shared" ca="1" si="78"/>
        <v>0.95591182364729455</v>
      </c>
    </row>
    <row r="813" spans="1:15" x14ac:dyDescent="0.2">
      <c r="A813" t="str">
        <f ca="1">IFERROR(__xludf.DUMMYFUNCTION("""COMPUTED_VALUE"""),"mi")</f>
        <v>mi</v>
      </c>
      <c r="B813" t="str">
        <f ca="1">IFERROR(__xludf.DUMMYFUNCTION("""COMPUTED_VALUE"""),"Model S P85D")</f>
        <v>Model S P85D</v>
      </c>
      <c r="D813">
        <f ca="1">IFERROR(__xludf.DUMMYFUNCTION("""COMPUTED_VALUE"""),28747)</f>
        <v>28747</v>
      </c>
      <c r="E813">
        <f ca="1">IFERROR(__xludf.DUMMYFUNCTION("""COMPUTED_VALUE"""),242)</f>
        <v>242</v>
      </c>
      <c r="F813">
        <v>253</v>
      </c>
      <c r="G813">
        <v>0.95652173913043481</v>
      </c>
      <c r="H813">
        <v>28747</v>
      </c>
      <c r="I813">
        <v>46264</v>
      </c>
      <c r="J813">
        <v>28747</v>
      </c>
      <c r="K813">
        <v>0.97024432014846718</v>
      </c>
      <c r="L813">
        <f ca="1">IFERROR(__xludf.DUMMYFUNCTION("""COMPUTED_VALUE"""),242)</f>
        <v>242</v>
      </c>
      <c r="M813">
        <v>253</v>
      </c>
      <c r="N813">
        <v>28747</v>
      </c>
      <c r="O813">
        <f t="shared" ca="1" si="78"/>
        <v>0.95652173913043481</v>
      </c>
    </row>
    <row r="814" spans="1:15" x14ac:dyDescent="0.2">
      <c r="A814" t="str">
        <f ca="1">IFERROR(__xludf.DUMMYFUNCTION("""COMPUTED_VALUE"""),"mi")</f>
        <v>mi</v>
      </c>
      <c r="B814" t="str">
        <f ca="1">IFERROR(__xludf.DUMMYFUNCTION("""COMPUTED_VALUE"""),"Model S 60")</f>
        <v>Model S 60</v>
      </c>
      <c r="C814">
        <f ca="1">IFERROR(__xludf.DUMMYFUNCTION("""COMPUTED_VALUE"""),205)</f>
        <v>205</v>
      </c>
      <c r="D814">
        <f ca="1">IFERROR(__xludf.DUMMYFUNCTION("""COMPUTED_VALUE"""),35000)</f>
        <v>35000</v>
      </c>
      <c r="E814">
        <f ca="1">IFERROR(__xludf.DUMMYFUNCTION("""COMPUTED_VALUE"""),198)</f>
        <v>198</v>
      </c>
      <c r="F814">
        <v>207</v>
      </c>
      <c r="G814">
        <v>0.95652173913043481</v>
      </c>
      <c r="H814">
        <v>35000</v>
      </c>
      <c r="I814">
        <v>56327</v>
      </c>
      <c r="J814">
        <v>35000</v>
      </c>
      <c r="K814">
        <v>0.96429938415982319</v>
      </c>
      <c r="L814">
        <f ca="1">IFERROR(__xludf.DUMMYFUNCTION("""COMPUTED_VALUE"""),198)</f>
        <v>198</v>
      </c>
      <c r="M814">
        <v>207</v>
      </c>
      <c r="N814">
        <v>35000</v>
      </c>
      <c r="O814">
        <f t="shared" ca="1" si="78"/>
        <v>0.95652173913043481</v>
      </c>
    </row>
    <row r="815" spans="1:15" x14ac:dyDescent="0.2">
      <c r="A815" t="str">
        <f ca="1">IFERROR(__xludf.DUMMYFUNCTION("""COMPUTED_VALUE"""),"mi")</f>
        <v>mi</v>
      </c>
      <c r="B815" t="str">
        <f ca="1">IFERROR(__xludf.DUMMYFUNCTION("""COMPUTED_VALUE"""),"Model 3 LR")</f>
        <v>Model 3 LR</v>
      </c>
      <c r="C815">
        <f ca="1">IFERROR(__xludf.DUMMYFUNCTION("""COMPUTED_VALUE"""),310)</f>
        <v>310</v>
      </c>
      <c r="D815">
        <f ca="1">IFERROR(__xludf.DUMMYFUNCTION("""COMPUTED_VALUE"""),20900)</f>
        <v>20900</v>
      </c>
      <c r="E815">
        <f ca="1">IFERROR(__xludf.DUMMYFUNCTION("""COMPUTED_VALUE"""),311)</f>
        <v>311</v>
      </c>
      <c r="F815">
        <v>325</v>
      </c>
      <c r="G815">
        <v>0.95692307692307688</v>
      </c>
      <c r="H815">
        <v>20900</v>
      </c>
      <c r="I815">
        <v>33635</v>
      </c>
      <c r="J815">
        <v>20900</v>
      </c>
      <c r="K815">
        <v>0.97797516501998694</v>
      </c>
      <c r="L815">
        <f ca="1">IFERROR(__xludf.DUMMYFUNCTION("""COMPUTED_VALUE"""),311)</f>
        <v>311</v>
      </c>
      <c r="M815">
        <v>325</v>
      </c>
      <c r="N815">
        <v>20900</v>
      </c>
      <c r="O815">
        <f t="shared" ca="1" si="78"/>
        <v>0.95692307692307688</v>
      </c>
    </row>
    <row r="816" spans="1:15" x14ac:dyDescent="0.2">
      <c r="A816" t="str">
        <f ca="1">IFERROR(__xludf.DUMMYFUNCTION("""COMPUTED_VALUE"""),"mi")</f>
        <v>mi</v>
      </c>
      <c r="B816" t="str">
        <f ca="1">IFERROR(__xludf.DUMMYFUNCTION("""COMPUTED_VALUE"""),"Model 3 LR")</f>
        <v>Model 3 LR</v>
      </c>
      <c r="C816">
        <f ca="1">IFERROR(__xludf.DUMMYFUNCTION("""COMPUTED_VALUE"""),311)</f>
        <v>311</v>
      </c>
      <c r="D816">
        <f ca="1">IFERROR(__xludf.DUMMYFUNCTION("""COMPUTED_VALUE"""),6)</f>
        <v>6</v>
      </c>
      <c r="E816">
        <f ca="1">IFERROR(__xludf.DUMMYFUNCTION("""COMPUTED_VALUE"""),311)</f>
        <v>311</v>
      </c>
      <c r="F816">
        <v>325</v>
      </c>
      <c r="G816">
        <v>0.95692307692307688</v>
      </c>
      <c r="H816">
        <v>6</v>
      </c>
      <c r="I816">
        <v>10</v>
      </c>
      <c r="J816">
        <v>6</v>
      </c>
      <c r="K816">
        <v>0.99999314707882636</v>
      </c>
      <c r="L816">
        <f ca="1">IFERROR(__xludf.DUMMYFUNCTION("""COMPUTED_VALUE"""),311)</f>
        <v>311</v>
      </c>
      <c r="M816">
        <v>325</v>
      </c>
      <c r="N816">
        <v>6</v>
      </c>
      <c r="O816">
        <f t="shared" ca="1" si="78"/>
        <v>0.95692307692307688</v>
      </c>
    </row>
    <row r="817" spans="1:15" x14ac:dyDescent="0.2">
      <c r="A817" t="str">
        <f ca="1">IFERROR(__xludf.DUMMYFUNCTION("""COMPUTED_VALUE"""),"km")</f>
        <v>km</v>
      </c>
      <c r="B817" t="str">
        <f ca="1">IFERROR(__xludf.DUMMYFUNCTION("""COMPUTED_VALUE"""),"Model S 85")</f>
        <v>Model S 85</v>
      </c>
      <c r="C817">
        <f ca="1">IFERROR(__xludf.DUMMYFUNCTION("""COMPUTED_VALUE"""),400)</f>
        <v>400</v>
      </c>
      <c r="D817">
        <f ca="1">IFERROR(__xludf.DUMMYFUNCTION("""COMPUTED_VALUE"""),265546)</f>
        <v>265546</v>
      </c>
      <c r="E817">
        <f ca="1">IFERROR(__xludf.DUMMYFUNCTION("""COMPUTED_VALUE"""),378)</f>
        <v>378</v>
      </c>
      <c r="F817">
        <v>395</v>
      </c>
      <c r="G817">
        <v>0.95696202531645569</v>
      </c>
      <c r="H817">
        <v>165003</v>
      </c>
      <c r="I817">
        <v>265546</v>
      </c>
      <c r="J817">
        <v>165003</v>
      </c>
      <c r="K817">
        <v>0.88796377957480999</v>
      </c>
      <c r="L817">
        <f t="shared" ref="L817:L848" ca="1" si="81">E817*0.621371</f>
        <v>234.87823800000001</v>
      </c>
      <c r="M817">
        <f t="shared" ref="M817:M848" si="82">F817*0.621371</f>
        <v>245.44154499999999</v>
      </c>
      <c r="N817">
        <v>165003</v>
      </c>
      <c r="O817">
        <f t="shared" ca="1" si="78"/>
        <v>0.9569620253164558</v>
      </c>
    </row>
    <row r="818" spans="1:15" x14ac:dyDescent="0.2">
      <c r="A818" t="str">
        <f ca="1">IFERROR(__xludf.DUMMYFUNCTION("""COMPUTED_VALUE"""),"km")</f>
        <v>km</v>
      </c>
      <c r="B818" t="str">
        <f ca="1">IFERROR(__xludf.DUMMYFUNCTION("""COMPUTED_VALUE"""),"Model S 85")</f>
        <v>Model S 85</v>
      </c>
      <c r="C818">
        <f ca="1">IFERROR(__xludf.DUMMYFUNCTION("""COMPUTED_VALUE"""),388)</f>
        <v>388</v>
      </c>
      <c r="D818">
        <f ca="1">IFERROR(__xludf.DUMMYFUNCTION("""COMPUTED_VALUE"""),100790)</f>
        <v>100790</v>
      </c>
      <c r="E818">
        <f ca="1">IFERROR(__xludf.DUMMYFUNCTION("""COMPUTED_VALUE"""),378)</f>
        <v>378</v>
      </c>
      <c r="F818">
        <v>395</v>
      </c>
      <c r="G818">
        <v>0.95696202531645569</v>
      </c>
      <c r="H818">
        <v>62628</v>
      </c>
      <c r="I818">
        <v>100790</v>
      </c>
      <c r="J818">
        <v>62628</v>
      </c>
      <c r="K818">
        <v>0.94037492455125971</v>
      </c>
      <c r="L818">
        <f t="shared" ca="1" si="81"/>
        <v>234.87823800000001</v>
      </c>
      <c r="M818">
        <f t="shared" si="82"/>
        <v>245.44154499999999</v>
      </c>
      <c r="N818">
        <v>62628</v>
      </c>
      <c r="O818">
        <f t="shared" ca="1" si="78"/>
        <v>0.9569620253164558</v>
      </c>
    </row>
    <row r="819" spans="1:15" x14ac:dyDescent="0.2">
      <c r="A819" t="str">
        <f ca="1">IFERROR(__xludf.DUMMYFUNCTION("""COMPUTED_VALUE"""),"km")</f>
        <v>km</v>
      </c>
      <c r="B819" t="str">
        <f ca="1">IFERROR(__xludf.DUMMYFUNCTION("""COMPUTED_VALUE"""),"Model S 85")</f>
        <v>Model S 85</v>
      </c>
      <c r="C819">
        <f ca="1">IFERROR(__xludf.DUMMYFUNCTION("""COMPUTED_VALUE"""),391)</f>
        <v>391</v>
      </c>
      <c r="D819">
        <f ca="1">IFERROR(__xludf.DUMMYFUNCTION("""COMPUTED_VALUE"""),106200)</f>
        <v>106200</v>
      </c>
      <c r="E819">
        <f ca="1">IFERROR(__xludf.DUMMYFUNCTION("""COMPUTED_VALUE"""),378)</f>
        <v>378</v>
      </c>
      <c r="F819">
        <v>395</v>
      </c>
      <c r="G819">
        <v>0.95696202531645569</v>
      </c>
      <c r="H819">
        <v>65990</v>
      </c>
      <c r="I819">
        <v>106200</v>
      </c>
      <c r="J819">
        <v>65990</v>
      </c>
      <c r="K819">
        <v>0.9377306721655343</v>
      </c>
      <c r="L819">
        <f t="shared" ca="1" si="81"/>
        <v>234.87823800000001</v>
      </c>
      <c r="M819">
        <f t="shared" si="82"/>
        <v>245.44154499999999</v>
      </c>
      <c r="N819">
        <v>65990</v>
      </c>
      <c r="O819">
        <f t="shared" ca="1" si="78"/>
        <v>0.9569620253164558</v>
      </c>
    </row>
    <row r="820" spans="1:15" x14ac:dyDescent="0.2">
      <c r="A820" t="str">
        <f ca="1">IFERROR(__xludf.DUMMYFUNCTION("""COMPUTED_VALUE"""),"km")</f>
        <v>km</v>
      </c>
      <c r="B820" t="str">
        <f ca="1">IFERROR(__xludf.DUMMYFUNCTION("""COMPUTED_VALUE"""),"Model S 85")</f>
        <v>Model S 85</v>
      </c>
      <c r="C820">
        <f ca="1">IFERROR(__xludf.DUMMYFUNCTION("""COMPUTED_VALUE"""),404)</f>
        <v>404</v>
      </c>
      <c r="D820">
        <f ca="1">IFERROR(__xludf.DUMMYFUNCTION("""COMPUTED_VALUE"""),78372)</f>
        <v>78372</v>
      </c>
      <c r="E820">
        <f ca="1">IFERROR(__xludf.DUMMYFUNCTION("""COMPUTED_VALUE"""),378)</f>
        <v>378</v>
      </c>
      <c r="F820">
        <v>395</v>
      </c>
      <c r="G820">
        <v>0.95696202531645569</v>
      </c>
      <c r="H820">
        <v>48698</v>
      </c>
      <c r="I820">
        <v>78372</v>
      </c>
      <c r="J820">
        <v>48698</v>
      </c>
      <c r="K820">
        <v>0.95195406592988885</v>
      </c>
      <c r="L820">
        <f t="shared" ca="1" si="81"/>
        <v>234.87823800000001</v>
      </c>
      <c r="M820">
        <f t="shared" si="82"/>
        <v>245.44154499999999</v>
      </c>
      <c r="N820">
        <v>48698</v>
      </c>
      <c r="O820">
        <f t="shared" ca="1" si="78"/>
        <v>0.9569620253164558</v>
      </c>
    </row>
    <row r="821" spans="1:15" x14ac:dyDescent="0.2">
      <c r="A821" t="str">
        <f ca="1">IFERROR(__xludf.DUMMYFUNCTION("""COMPUTED_VALUE"""),"km")</f>
        <v>km</v>
      </c>
      <c r="B821" t="str">
        <f ca="1">IFERROR(__xludf.DUMMYFUNCTION("""COMPUTED_VALUE"""),"Model S P85+")</f>
        <v>Model S P85+</v>
      </c>
      <c r="D821">
        <f ca="1">IFERROR(__xludf.DUMMYFUNCTION("""COMPUTED_VALUE"""),54475)</f>
        <v>54475</v>
      </c>
      <c r="E821">
        <f ca="1">IFERROR(__xludf.DUMMYFUNCTION("""COMPUTED_VALUE"""),378)</f>
        <v>378</v>
      </c>
      <c r="F821">
        <v>395</v>
      </c>
      <c r="G821">
        <v>0.95696202531645569</v>
      </c>
      <c r="H821">
        <v>33849</v>
      </c>
      <c r="I821">
        <v>54475</v>
      </c>
      <c r="J821">
        <v>33849</v>
      </c>
      <c r="K821">
        <v>0.96537905361516652</v>
      </c>
      <c r="L821">
        <f t="shared" ca="1" si="81"/>
        <v>234.87823800000001</v>
      </c>
      <c r="M821">
        <f t="shared" si="82"/>
        <v>245.44154499999999</v>
      </c>
      <c r="N821">
        <v>33849</v>
      </c>
      <c r="O821">
        <f t="shared" ca="1" si="78"/>
        <v>0.9569620253164558</v>
      </c>
    </row>
    <row r="822" spans="1:15" x14ac:dyDescent="0.2">
      <c r="A822" t="str">
        <f ca="1">IFERROR(__xludf.DUMMYFUNCTION("""COMPUTED_VALUE"""),"km")</f>
        <v>km</v>
      </c>
      <c r="B822" t="str">
        <f ca="1">IFERROR(__xludf.DUMMYFUNCTION("""COMPUTED_VALUE"""),"Model S 85")</f>
        <v>Model S 85</v>
      </c>
      <c r="D822">
        <f ca="1">IFERROR(__xludf.DUMMYFUNCTION("""COMPUTED_VALUE"""),26726)</f>
        <v>26726</v>
      </c>
      <c r="E822">
        <f ca="1">IFERROR(__xludf.DUMMYFUNCTION("""COMPUTED_VALUE"""),378)</f>
        <v>378</v>
      </c>
      <c r="F822">
        <v>395</v>
      </c>
      <c r="G822">
        <v>0.95696202531645569</v>
      </c>
      <c r="H822">
        <v>16607</v>
      </c>
      <c r="I822">
        <v>26726</v>
      </c>
      <c r="J822">
        <v>16607</v>
      </c>
      <c r="K822">
        <v>0.98233026782908017</v>
      </c>
      <c r="L822">
        <f t="shared" ca="1" si="81"/>
        <v>234.87823800000001</v>
      </c>
      <c r="M822">
        <f t="shared" si="82"/>
        <v>245.44154499999999</v>
      </c>
      <c r="N822">
        <v>16607</v>
      </c>
      <c r="O822">
        <f t="shared" ca="1" si="78"/>
        <v>0.9569620253164558</v>
      </c>
    </row>
    <row r="823" spans="1:15" x14ac:dyDescent="0.2">
      <c r="A823" t="str">
        <f ca="1">IFERROR(__xludf.DUMMYFUNCTION("""COMPUTED_VALUE"""),"km")</f>
        <v>km</v>
      </c>
      <c r="B823" t="str">
        <f ca="1">IFERROR(__xludf.DUMMYFUNCTION("""COMPUTED_VALUE"""),"Model S 85")</f>
        <v>Model S 85</v>
      </c>
      <c r="D823">
        <f ca="1">IFERROR(__xludf.DUMMYFUNCTION("""COMPUTED_VALUE"""),30287)</f>
        <v>30287</v>
      </c>
      <c r="E823">
        <f ca="1">IFERROR(__xludf.DUMMYFUNCTION("""COMPUTED_VALUE"""),378)</f>
        <v>378</v>
      </c>
      <c r="F823">
        <v>395</v>
      </c>
      <c r="G823">
        <v>0.95696202531645569</v>
      </c>
      <c r="H823">
        <v>18819</v>
      </c>
      <c r="I823">
        <v>30287</v>
      </c>
      <c r="J823">
        <v>18819</v>
      </c>
      <c r="K823">
        <v>0.98007454403658623</v>
      </c>
      <c r="L823">
        <f t="shared" ca="1" si="81"/>
        <v>234.87823800000001</v>
      </c>
      <c r="M823">
        <f t="shared" si="82"/>
        <v>245.44154499999999</v>
      </c>
      <c r="N823">
        <v>18819</v>
      </c>
      <c r="O823">
        <f t="shared" ca="1" si="78"/>
        <v>0.9569620253164558</v>
      </c>
    </row>
    <row r="824" spans="1:15" x14ac:dyDescent="0.2">
      <c r="A824" t="str">
        <f ca="1">IFERROR(__xludf.DUMMYFUNCTION("""COMPUTED_VALUE"""),"km")</f>
        <v>km</v>
      </c>
      <c r="B824" t="str">
        <f ca="1">IFERROR(__xludf.DUMMYFUNCTION("""COMPUTED_VALUE"""),"Model S P85+")</f>
        <v>Model S P85+</v>
      </c>
      <c r="D824">
        <f ca="1">IFERROR(__xludf.DUMMYFUNCTION("""COMPUTED_VALUE"""),75000)</f>
        <v>75000</v>
      </c>
      <c r="E824">
        <f ca="1">IFERROR(__xludf.DUMMYFUNCTION("""COMPUTED_VALUE"""),378)</f>
        <v>378</v>
      </c>
      <c r="F824">
        <v>395</v>
      </c>
      <c r="G824">
        <v>0.95696202531645569</v>
      </c>
      <c r="H824">
        <v>46603</v>
      </c>
      <c r="I824">
        <v>75000</v>
      </c>
      <c r="J824">
        <v>46603</v>
      </c>
      <c r="K824">
        <v>0.95378141078373002</v>
      </c>
      <c r="L824">
        <f t="shared" ca="1" si="81"/>
        <v>234.87823800000001</v>
      </c>
      <c r="M824">
        <f t="shared" si="82"/>
        <v>245.44154499999999</v>
      </c>
      <c r="N824">
        <v>46603</v>
      </c>
      <c r="O824">
        <f t="shared" ca="1" si="78"/>
        <v>0.9569620253164558</v>
      </c>
    </row>
    <row r="825" spans="1:15" x14ac:dyDescent="0.2">
      <c r="A825" t="str">
        <f ca="1">IFERROR(__xludf.DUMMYFUNCTION("""COMPUTED_VALUE"""),"km")</f>
        <v>km</v>
      </c>
      <c r="B825" t="str">
        <f ca="1">IFERROR(__xludf.DUMMYFUNCTION("""COMPUTED_VALUE"""),"Model S 85")</f>
        <v>Model S 85</v>
      </c>
      <c r="D825">
        <f ca="1">IFERROR(__xludf.DUMMYFUNCTION("""COMPUTED_VALUE"""),86130)</f>
        <v>86130</v>
      </c>
      <c r="E825">
        <f ca="1">IFERROR(__xludf.DUMMYFUNCTION("""COMPUTED_VALUE"""),378)</f>
        <v>378</v>
      </c>
      <c r="F825">
        <v>395</v>
      </c>
      <c r="G825">
        <v>0.95696202531645569</v>
      </c>
      <c r="H825">
        <v>53519</v>
      </c>
      <c r="I825">
        <v>86130</v>
      </c>
      <c r="J825">
        <v>53519</v>
      </c>
      <c r="K825">
        <v>0.9478344619973762</v>
      </c>
      <c r="L825">
        <f t="shared" ca="1" si="81"/>
        <v>234.87823800000001</v>
      </c>
      <c r="M825">
        <f t="shared" si="82"/>
        <v>245.44154499999999</v>
      </c>
      <c r="N825">
        <v>53519</v>
      </c>
      <c r="O825">
        <f t="shared" ca="1" si="78"/>
        <v>0.9569620253164558</v>
      </c>
    </row>
    <row r="826" spans="1:15" x14ac:dyDescent="0.2">
      <c r="A826" t="str">
        <f ca="1">IFERROR(__xludf.DUMMYFUNCTION("""COMPUTED_VALUE"""),"km")</f>
        <v>km</v>
      </c>
      <c r="B826" t="str">
        <f ca="1">IFERROR(__xludf.DUMMYFUNCTION("""COMPUTED_VALUE"""),"Model S 85")</f>
        <v>Model S 85</v>
      </c>
      <c r="D826">
        <f ca="1">IFERROR(__xludf.DUMMYFUNCTION("""COMPUTED_VALUE"""),58163)</f>
        <v>58163</v>
      </c>
      <c r="E826">
        <f ca="1">IFERROR(__xludf.DUMMYFUNCTION("""COMPUTED_VALUE"""),378)</f>
        <v>378</v>
      </c>
      <c r="F826">
        <v>395</v>
      </c>
      <c r="G826">
        <v>0.95696202531645569</v>
      </c>
      <c r="H826">
        <v>36141</v>
      </c>
      <c r="I826">
        <v>58163</v>
      </c>
      <c r="J826">
        <v>36141</v>
      </c>
      <c r="K826">
        <v>0.96323550096009147</v>
      </c>
      <c r="L826">
        <f t="shared" ca="1" si="81"/>
        <v>234.87823800000001</v>
      </c>
      <c r="M826">
        <f t="shared" si="82"/>
        <v>245.44154499999999</v>
      </c>
      <c r="N826">
        <v>36141</v>
      </c>
      <c r="O826">
        <f t="shared" ca="1" si="78"/>
        <v>0.9569620253164558</v>
      </c>
    </row>
    <row r="827" spans="1:15" x14ac:dyDescent="0.2">
      <c r="A827" t="str">
        <f ca="1">IFERROR(__xludf.DUMMYFUNCTION("""COMPUTED_VALUE"""),"km")</f>
        <v>km</v>
      </c>
      <c r="B827" t="str">
        <f ca="1">IFERROR(__xludf.DUMMYFUNCTION("""COMPUTED_VALUE"""),"Model S 85")</f>
        <v>Model S 85</v>
      </c>
      <c r="D827">
        <f ca="1">IFERROR(__xludf.DUMMYFUNCTION("""COMPUTED_VALUE"""),61737)</f>
        <v>61737</v>
      </c>
      <c r="E827">
        <f ca="1">IFERROR(__xludf.DUMMYFUNCTION("""COMPUTED_VALUE"""),378)</f>
        <v>378</v>
      </c>
      <c r="F827">
        <v>395</v>
      </c>
      <c r="G827">
        <v>0.95696202531645569</v>
      </c>
      <c r="H827">
        <v>38362</v>
      </c>
      <c r="I827">
        <v>61737</v>
      </c>
      <c r="J827">
        <v>38362</v>
      </c>
      <c r="K827">
        <v>0.96118301507298831</v>
      </c>
      <c r="L827">
        <f t="shared" ca="1" si="81"/>
        <v>234.87823800000001</v>
      </c>
      <c r="M827">
        <f t="shared" si="82"/>
        <v>245.44154499999999</v>
      </c>
      <c r="N827">
        <v>38362</v>
      </c>
      <c r="O827">
        <f t="shared" ca="1" si="78"/>
        <v>0.9569620253164558</v>
      </c>
    </row>
    <row r="828" spans="1:15" x14ac:dyDescent="0.2">
      <c r="A828" t="str">
        <f ca="1">IFERROR(__xludf.DUMMYFUNCTION("""COMPUTED_VALUE"""),"km")</f>
        <v>km</v>
      </c>
      <c r="B828" t="str">
        <f ca="1">IFERROR(__xludf.DUMMYFUNCTION("""COMPUTED_VALUE"""),"Model S 85")</f>
        <v>Model S 85</v>
      </c>
      <c r="D828">
        <f ca="1">IFERROR(__xludf.DUMMYFUNCTION("""COMPUTED_VALUE"""),35000)</f>
        <v>35000</v>
      </c>
      <c r="E828">
        <f ca="1">IFERROR(__xludf.DUMMYFUNCTION("""COMPUTED_VALUE"""),378)</f>
        <v>378</v>
      </c>
      <c r="F828">
        <v>395</v>
      </c>
      <c r="G828">
        <v>0.95696202531645569</v>
      </c>
      <c r="H828">
        <v>21748</v>
      </c>
      <c r="I828">
        <v>35000</v>
      </c>
      <c r="J828">
        <v>21748</v>
      </c>
      <c r="K828">
        <v>0.97712521121457918</v>
      </c>
      <c r="L828">
        <f t="shared" ca="1" si="81"/>
        <v>234.87823800000001</v>
      </c>
      <c r="M828">
        <f t="shared" si="82"/>
        <v>245.44154499999999</v>
      </c>
      <c r="N828">
        <v>21748</v>
      </c>
      <c r="O828">
        <f t="shared" ca="1" si="78"/>
        <v>0.9569620253164558</v>
      </c>
    </row>
    <row r="829" spans="1:15" x14ac:dyDescent="0.2">
      <c r="A829" t="str">
        <f ca="1">IFERROR(__xludf.DUMMYFUNCTION("""COMPUTED_VALUE"""),"km")</f>
        <v>km</v>
      </c>
      <c r="B829" t="str">
        <f ca="1">IFERROR(__xludf.DUMMYFUNCTION("""COMPUTED_VALUE"""),"Model S 85")</f>
        <v>Model S 85</v>
      </c>
      <c r="C829">
        <f ca="1">IFERROR(__xludf.DUMMYFUNCTION("""COMPUTED_VALUE"""),398)</f>
        <v>398</v>
      </c>
      <c r="D829">
        <f ca="1">IFERROR(__xludf.DUMMYFUNCTION("""COMPUTED_VALUE"""),75000)</f>
        <v>75000</v>
      </c>
      <c r="E829">
        <f ca="1">IFERROR(__xludf.DUMMYFUNCTION("""COMPUTED_VALUE"""),378)</f>
        <v>378</v>
      </c>
      <c r="F829">
        <v>395</v>
      </c>
      <c r="G829">
        <v>0.95696202531645569</v>
      </c>
      <c r="H829">
        <v>46603</v>
      </c>
      <c r="I829">
        <v>75000</v>
      </c>
      <c r="J829">
        <v>46603</v>
      </c>
      <c r="K829">
        <v>0.95378141078373002</v>
      </c>
      <c r="L829">
        <f t="shared" ca="1" si="81"/>
        <v>234.87823800000001</v>
      </c>
      <c r="M829">
        <f t="shared" si="82"/>
        <v>245.44154499999999</v>
      </c>
      <c r="N829">
        <v>46603</v>
      </c>
      <c r="O829">
        <f t="shared" ca="1" si="78"/>
        <v>0.9569620253164558</v>
      </c>
    </row>
    <row r="830" spans="1:15" x14ac:dyDescent="0.2">
      <c r="A830" t="str">
        <f ca="1">IFERROR(__xludf.DUMMYFUNCTION("""COMPUTED_VALUE"""),"km")</f>
        <v>km</v>
      </c>
      <c r="B830" t="str">
        <f ca="1">IFERROR(__xludf.DUMMYFUNCTION("""COMPUTED_VALUE"""),"Model S 85")</f>
        <v>Model S 85</v>
      </c>
      <c r="D830">
        <f ca="1">IFERROR(__xludf.DUMMYFUNCTION("""COMPUTED_VALUE"""),31712)</f>
        <v>31712</v>
      </c>
      <c r="E830">
        <f ca="1">IFERROR(__xludf.DUMMYFUNCTION("""COMPUTED_VALUE"""),378)</f>
        <v>378</v>
      </c>
      <c r="F830">
        <v>395</v>
      </c>
      <c r="G830">
        <v>0.95696202531645569</v>
      </c>
      <c r="H830">
        <v>19705</v>
      </c>
      <c r="I830">
        <v>31712</v>
      </c>
      <c r="J830">
        <v>19705</v>
      </c>
      <c r="K830">
        <v>0.97917844887714356</v>
      </c>
      <c r="L830">
        <f t="shared" ca="1" si="81"/>
        <v>234.87823800000001</v>
      </c>
      <c r="M830">
        <f t="shared" si="82"/>
        <v>245.44154499999999</v>
      </c>
      <c r="N830">
        <v>19705</v>
      </c>
      <c r="O830">
        <f t="shared" ca="1" si="78"/>
        <v>0.9569620253164558</v>
      </c>
    </row>
    <row r="831" spans="1:15" x14ac:dyDescent="0.2">
      <c r="A831" t="str">
        <f ca="1">IFERROR(__xludf.DUMMYFUNCTION("""COMPUTED_VALUE"""),"km")</f>
        <v>km</v>
      </c>
      <c r="B831" t="str">
        <f ca="1">IFERROR(__xludf.DUMMYFUNCTION("""COMPUTED_VALUE"""),"Model S 85")</f>
        <v>Model S 85</v>
      </c>
      <c r="C831">
        <f ca="1">IFERROR(__xludf.DUMMYFUNCTION("""COMPUTED_VALUE"""),398)</f>
        <v>398</v>
      </c>
      <c r="D831">
        <f ca="1">IFERROR(__xludf.DUMMYFUNCTION("""COMPUTED_VALUE"""),31960)</f>
        <v>31960</v>
      </c>
      <c r="E831">
        <f ca="1">IFERROR(__xludf.DUMMYFUNCTION("""COMPUTED_VALUE"""),378)</f>
        <v>378</v>
      </c>
      <c r="F831">
        <v>395</v>
      </c>
      <c r="G831">
        <v>0.95696202531645569</v>
      </c>
      <c r="H831">
        <v>19859</v>
      </c>
      <c r="I831">
        <v>31960</v>
      </c>
      <c r="J831">
        <v>19859</v>
      </c>
      <c r="K831">
        <v>0.97902288155647565</v>
      </c>
      <c r="L831">
        <f t="shared" ca="1" si="81"/>
        <v>234.87823800000001</v>
      </c>
      <c r="M831">
        <f t="shared" si="82"/>
        <v>245.44154499999999</v>
      </c>
      <c r="N831">
        <v>19859</v>
      </c>
      <c r="O831">
        <f t="shared" ca="1" si="78"/>
        <v>0.9569620253164558</v>
      </c>
    </row>
    <row r="832" spans="1:15" x14ac:dyDescent="0.2">
      <c r="A832" t="str">
        <f ca="1">IFERROR(__xludf.DUMMYFUNCTION("""COMPUTED_VALUE"""),"km")</f>
        <v>km</v>
      </c>
      <c r="B832" t="str">
        <f ca="1">IFERROR(__xludf.DUMMYFUNCTION("""COMPUTED_VALUE"""),"Model S 85")</f>
        <v>Model S 85</v>
      </c>
      <c r="C832">
        <f ca="1">IFERROR(__xludf.DUMMYFUNCTION("""COMPUTED_VALUE"""),401)</f>
        <v>401</v>
      </c>
      <c r="D832">
        <f ca="1">IFERROR(__xludf.DUMMYFUNCTION("""COMPUTED_VALUE"""),49500)</f>
        <v>49500</v>
      </c>
      <c r="E832">
        <f ca="1">IFERROR(__xludf.DUMMYFUNCTION("""COMPUTED_VALUE"""),378)</f>
        <v>378</v>
      </c>
      <c r="F832">
        <v>395</v>
      </c>
      <c r="G832">
        <v>0.95696202531645569</v>
      </c>
      <c r="H832">
        <v>30758</v>
      </c>
      <c r="I832">
        <v>49500</v>
      </c>
      <c r="J832">
        <v>30758</v>
      </c>
      <c r="K832">
        <v>0.96831164434353489</v>
      </c>
      <c r="L832">
        <f t="shared" ca="1" si="81"/>
        <v>234.87823800000001</v>
      </c>
      <c r="M832">
        <f t="shared" si="82"/>
        <v>245.44154499999999</v>
      </c>
      <c r="N832">
        <v>30758</v>
      </c>
      <c r="O832">
        <f t="shared" ca="1" si="78"/>
        <v>0.9569620253164558</v>
      </c>
    </row>
    <row r="833" spans="1:15" x14ac:dyDescent="0.2">
      <c r="A833" t="str">
        <f ca="1">IFERROR(__xludf.DUMMYFUNCTION("""COMPUTED_VALUE"""),"km")</f>
        <v>km</v>
      </c>
      <c r="B833" t="str">
        <f ca="1">IFERROR(__xludf.DUMMYFUNCTION("""COMPUTED_VALUE"""),"Model S 85")</f>
        <v>Model S 85</v>
      </c>
      <c r="C833">
        <f ca="1">IFERROR(__xludf.DUMMYFUNCTION("""COMPUTED_VALUE"""),399)</f>
        <v>399</v>
      </c>
      <c r="D833">
        <f ca="1">IFERROR(__xludf.DUMMYFUNCTION("""COMPUTED_VALUE"""),90600)</f>
        <v>90600</v>
      </c>
      <c r="E833">
        <f ca="1">IFERROR(__xludf.DUMMYFUNCTION("""COMPUTED_VALUE"""),378)</f>
        <v>378</v>
      </c>
      <c r="F833">
        <v>395</v>
      </c>
      <c r="G833">
        <v>0.95696202531645569</v>
      </c>
      <c r="H833">
        <v>56296</v>
      </c>
      <c r="I833">
        <v>90600</v>
      </c>
      <c r="J833">
        <v>56296</v>
      </c>
      <c r="K833">
        <v>0.94551469518424269</v>
      </c>
      <c r="L833">
        <f t="shared" ca="1" si="81"/>
        <v>234.87823800000001</v>
      </c>
      <c r="M833">
        <f t="shared" si="82"/>
        <v>245.44154499999999</v>
      </c>
      <c r="N833">
        <v>56296</v>
      </c>
      <c r="O833">
        <f t="shared" ca="1" si="78"/>
        <v>0.9569620253164558</v>
      </c>
    </row>
    <row r="834" spans="1:15" x14ac:dyDescent="0.2">
      <c r="A834" t="str">
        <f ca="1">IFERROR(__xludf.DUMMYFUNCTION("""COMPUTED_VALUE"""),"km")</f>
        <v>km</v>
      </c>
      <c r="B834" t="str">
        <f ca="1">IFERROR(__xludf.DUMMYFUNCTION("""COMPUTED_VALUE"""),"Model S 85")</f>
        <v>Model S 85</v>
      </c>
      <c r="C834">
        <f ca="1">IFERROR(__xludf.DUMMYFUNCTION("""COMPUTED_VALUE"""),398)</f>
        <v>398</v>
      </c>
      <c r="D834">
        <f ca="1">IFERROR(__xludf.DUMMYFUNCTION("""COMPUTED_VALUE"""),62764)</f>
        <v>62764</v>
      </c>
      <c r="E834">
        <f ca="1">IFERROR(__xludf.DUMMYFUNCTION("""COMPUTED_VALUE"""),378)</f>
        <v>378</v>
      </c>
      <c r="F834">
        <v>395</v>
      </c>
      <c r="G834">
        <v>0.95696202531645569</v>
      </c>
      <c r="H834">
        <v>39000</v>
      </c>
      <c r="I834">
        <v>62764</v>
      </c>
      <c r="J834">
        <v>39000</v>
      </c>
      <c r="K834">
        <v>0.96059775745025133</v>
      </c>
      <c r="L834">
        <f t="shared" ca="1" si="81"/>
        <v>234.87823800000001</v>
      </c>
      <c r="M834">
        <f t="shared" si="82"/>
        <v>245.44154499999999</v>
      </c>
      <c r="N834">
        <v>39000</v>
      </c>
      <c r="O834">
        <f t="shared" ref="O834:O897" ca="1" si="83">L834/M834</f>
        <v>0.9569620253164558</v>
      </c>
    </row>
    <row r="835" spans="1:15" x14ac:dyDescent="0.2">
      <c r="A835" t="str">
        <f ca="1">IFERROR(__xludf.DUMMYFUNCTION("""COMPUTED_VALUE"""),"km")</f>
        <v>km</v>
      </c>
      <c r="B835" t="str">
        <f ca="1">IFERROR(__xludf.DUMMYFUNCTION("""COMPUTED_VALUE"""),"Model S 85")</f>
        <v>Model S 85</v>
      </c>
      <c r="C835">
        <f ca="1">IFERROR(__xludf.DUMMYFUNCTION("""COMPUTED_VALUE"""),398)</f>
        <v>398</v>
      </c>
      <c r="D835">
        <f ca="1">IFERROR(__xludf.DUMMYFUNCTION("""COMPUTED_VALUE"""),62669)</f>
        <v>62669</v>
      </c>
      <c r="E835">
        <f ca="1">IFERROR(__xludf.DUMMYFUNCTION("""COMPUTED_VALUE"""),378)</f>
        <v>378</v>
      </c>
      <c r="F835">
        <v>395</v>
      </c>
      <c r="G835">
        <v>0.95696202531645569</v>
      </c>
      <c r="H835">
        <v>38941</v>
      </c>
      <c r="I835">
        <v>62669</v>
      </c>
      <c r="J835">
        <v>38941</v>
      </c>
      <c r="K835">
        <v>0.96065181016759627</v>
      </c>
      <c r="L835">
        <f t="shared" ca="1" si="81"/>
        <v>234.87823800000001</v>
      </c>
      <c r="M835">
        <f t="shared" si="82"/>
        <v>245.44154499999999</v>
      </c>
      <c r="N835">
        <v>38941</v>
      </c>
      <c r="O835">
        <f t="shared" ca="1" si="83"/>
        <v>0.9569620253164558</v>
      </c>
    </row>
    <row r="836" spans="1:15" x14ac:dyDescent="0.2">
      <c r="A836" t="str">
        <f ca="1">IFERROR(__xludf.DUMMYFUNCTION("""COMPUTED_VALUE"""),"km")</f>
        <v>km</v>
      </c>
      <c r="B836" t="str">
        <f ca="1">IFERROR(__xludf.DUMMYFUNCTION("""COMPUTED_VALUE"""),"Model S 85")</f>
        <v>Model S 85</v>
      </c>
      <c r="D836">
        <f ca="1">IFERROR(__xludf.DUMMYFUNCTION("""COMPUTED_VALUE"""),76550)</f>
        <v>76550</v>
      </c>
      <c r="E836">
        <f ca="1">IFERROR(__xludf.DUMMYFUNCTION("""COMPUTED_VALUE"""),378)</f>
        <v>378</v>
      </c>
      <c r="F836">
        <v>395</v>
      </c>
      <c r="G836">
        <v>0.95696202531645569</v>
      </c>
      <c r="H836">
        <v>47566</v>
      </c>
      <c r="I836">
        <v>76550</v>
      </c>
      <c r="J836">
        <v>47566</v>
      </c>
      <c r="K836">
        <v>0.95293868247522429</v>
      </c>
      <c r="L836">
        <f t="shared" ca="1" si="81"/>
        <v>234.87823800000001</v>
      </c>
      <c r="M836">
        <f t="shared" si="82"/>
        <v>245.44154499999999</v>
      </c>
      <c r="N836">
        <v>47566</v>
      </c>
      <c r="O836">
        <f t="shared" ca="1" si="83"/>
        <v>0.9569620253164558</v>
      </c>
    </row>
    <row r="837" spans="1:15" x14ac:dyDescent="0.2">
      <c r="A837" t="str">
        <f ca="1">IFERROR(__xludf.DUMMYFUNCTION("""COMPUTED_VALUE"""),"km")</f>
        <v>km</v>
      </c>
      <c r="B837" t="str">
        <f ca="1">IFERROR(__xludf.DUMMYFUNCTION("""COMPUTED_VALUE"""),"Model S 85")</f>
        <v>Model S 85</v>
      </c>
      <c r="D837">
        <f ca="1">IFERROR(__xludf.DUMMYFUNCTION("""COMPUTED_VALUE"""),26000)</f>
        <v>26000</v>
      </c>
      <c r="E837">
        <f ca="1">IFERROR(__xludf.DUMMYFUNCTION("""COMPUTED_VALUE"""),378)</f>
        <v>378</v>
      </c>
      <c r="F837">
        <v>395</v>
      </c>
      <c r="G837">
        <v>0.95696202531645569</v>
      </c>
      <c r="H837">
        <v>16156</v>
      </c>
      <c r="I837">
        <v>26000</v>
      </c>
      <c r="J837">
        <v>16156</v>
      </c>
      <c r="K837">
        <v>0.98279302793461221</v>
      </c>
      <c r="L837">
        <f t="shared" ca="1" si="81"/>
        <v>234.87823800000001</v>
      </c>
      <c r="M837">
        <f t="shared" si="82"/>
        <v>245.44154499999999</v>
      </c>
      <c r="N837">
        <v>16156</v>
      </c>
      <c r="O837">
        <f t="shared" ca="1" si="83"/>
        <v>0.9569620253164558</v>
      </c>
    </row>
    <row r="838" spans="1:15" x14ac:dyDescent="0.2">
      <c r="A838" t="str">
        <f ca="1">IFERROR(__xludf.DUMMYFUNCTION("""COMPUTED_VALUE"""),"km")</f>
        <v>km</v>
      </c>
      <c r="B838" t="str">
        <f ca="1">IFERROR(__xludf.DUMMYFUNCTION("""COMPUTED_VALUE"""),"Model S P85")</f>
        <v>Model S P85</v>
      </c>
      <c r="D838">
        <f ca="1">IFERROR(__xludf.DUMMYFUNCTION("""COMPUTED_VALUE"""),42850)</f>
        <v>42850</v>
      </c>
      <c r="E838">
        <f ca="1">IFERROR(__xludf.DUMMYFUNCTION("""COMPUTED_VALUE"""),378)</f>
        <v>378</v>
      </c>
      <c r="F838">
        <v>395</v>
      </c>
      <c r="G838">
        <v>0.95696202531645569</v>
      </c>
      <c r="H838">
        <v>26626</v>
      </c>
      <c r="I838">
        <v>42850</v>
      </c>
      <c r="J838">
        <v>26626</v>
      </c>
      <c r="K838">
        <v>0.97230471305434041</v>
      </c>
      <c r="L838">
        <f t="shared" ca="1" si="81"/>
        <v>234.87823800000001</v>
      </c>
      <c r="M838">
        <f t="shared" si="82"/>
        <v>245.44154499999999</v>
      </c>
      <c r="N838">
        <v>26626</v>
      </c>
      <c r="O838">
        <f t="shared" ca="1" si="83"/>
        <v>0.9569620253164558</v>
      </c>
    </row>
    <row r="839" spans="1:15" x14ac:dyDescent="0.2">
      <c r="A839" t="str">
        <f ca="1">IFERROR(__xludf.DUMMYFUNCTION("""COMPUTED_VALUE"""),"km")</f>
        <v>km</v>
      </c>
      <c r="B839" t="str">
        <f ca="1">IFERROR(__xludf.DUMMYFUNCTION("""COMPUTED_VALUE"""),"Model S 85")</f>
        <v>Model S 85</v>
      </c>
      <c r="D839">
        <f ca="1">IFERROR(__xludf.DUMMYFUNCTION("""COMPUTED_VALUE"""),49693)</f>
        <v>49693</v>
      </c>
      <c r="E839">
        <f ca="1">IFERROR(__xludf.DUMMYFUNCTION("""COMPUTED_VALUE"""),378)</f>
        <v>378</v>
      </c>
      <c r="F839">
        <v>395</v>
      </c>
      <c r="G839">
        <v>0.95696202531645569</v>
      </c>
      <c r="H839">
        <v>30878</v>
      </c>
      <c r="I839">
        <v>49693</v>
      </c>
      <c r="J839">
        <v>30878</v>
      </c>
      <c r="K839">
        <v>0.96819700225824801</v>
      </c>
      <c r="L839">
        <f t="shared" ca="1" si="81"/>
        <v>234.87823800000001</v>
      </c>
      <c r="M839">
        <f t="shared" si="82"/>
        <v>245.44154499999999</v>
      </c>
      <c r="N839">
        <v>30878</v>
      </c>
      <c r="O839">
        <f t="shared" ca="1" si="83"/>
        <v>0.9569620253164558</v>
      </c>
    </row>
    <row r="840" spans="1:15" x14ac:dyDescent="0.2">
      <c r="A840" t="str">
        <f ca="1">IFERROR(__xludf.DUMMYFUNCTION("""COMPUTED_VALUE"""),"km")</f>
        <v>km</v>
      </c>
      <c r="B840" t="str">
        <f ca="1">IFERROR(__xludf.DUMMYFUNCTION("""COMPUTED_VALUE"""),"Model S P85")</f>
        <v>Model S P85</v>
      </c>
      <c r="D840">
        <f ca="1">IFERROR(__xludf.DUMMYFUNCTION("""COMPUTED_VALUE"""),45025)</f>
        <v>45025</v>
      </c>
      <c r="E840">
        <f ca="1">IFERROR(__xludf.DUMMYFUNCTION("""COMPUTED_VALUE"""),378)</f>
        <v>378</v>
      </c>
      <c r="F840">
        <v>395</v>
      </c>
      <c r="G840">
        <v>0.95696202531645569</v>
      </c>
      <c r="H840">
        <v>27977</v>
      </c>
      <c r="I840">
        <v>45025</v>
      </c>
      <c r="J840">
        <v>27977</v>
      </c>
      <c r="K840">
        <v>0.97098953578772262</v>
      </c>
      <c r="L840">
        <f t="shared" ca="1" si="81"/>
        <v>234.87823800000001</v>
      </c>
      <c r="M840">
        <f t="shared" si="82"/>
        <v>245.44154499999999</v>
      </c>
      <c r="N840">
        <v>27977</v>
      </c>
      <c r="O840">
        <f t="shared" ca="1" si="83"/>
        <v>0.9569620253164558</v>
      </c>
    </row>
    <row r="841" spans="1:15" x14ac:dyDescent="0.2">
      <c r="A841" t="str">
        <f ca="1">IFERROR(__xludf.DUMMYFUNCTION("""COMPUTED_VALUE"""),"km")</f>
        <v>km</v>
      </c>
      <c r="B841" t="str">
        <f ca="1">IFERROR(__xludf.DUMMYFUNCTION("""COMPUTED_VALUE"""),"Model S P85")</f>
        <v>Model S P85</v>
      </c>
      <c r="D841">
        <f ca="1">IFERROR(__xludf.DUMMYFUNCTION("""COMPUTED_VALUE"""),80101)</f>
        <v>80101</v>
      </c>
      <c r="E841">
        <f ca="1">IFERROR(__xludf.DUMMYFUNCTION("""COMPUTED_VALUE"""),378)</f>
        <v>378</v>
      </c>
      <c r="F841">
        <v>395</v>
      </c>
      <c r="G841">
        <v>0.95696202531645569</v>
      </c>
      <c r="H841">
        <v>49772</v>
      </c>
      <c r="I841">
        <v>80101</v>
      </c>
      <c r="J841">
        <v>49772</v>
      </c>
      <c r="K841">
        <v>0.95102571154237392</v>
      </c>
      <c r="L841">
        <f t="shared" ca="1" si="81"/>
        <v>234.87823800000001</v>
      </c>
      <c r="M841">
        <f t="shared" si="82"/>
        <v>245.44154499999999</v>
      </c>
      <c r="N841">
        <v>49772</v>
      </c>
      <c r="O841">
        <f t="shared" ca="1" si="83"/>
        <v>0.9569620253164558</v>
      </c>
    </row>
    <row r="842" spans="1:15" x14ac:dyDescent="0.2">
      <c r="A842" t="str">
        <f ca="1">IFERROR(__xludf.DUMMYFUNCTION("""COMPUTED_VALUE"""),"km")</f>
        <v>km</v>
      </c>
      <c r="B842" t="str">
        <f ca="1">IFERROR(__xludf.DUMMYFUNCTION("""COMPUTED_VALUE"""),"Model S P85")</f>
        <v>Model S P85</v>
      </c>
      <c r="D842">
        <f ca="1">IFERROR(__xludf.DUMMYFUNCTION("""COMPUTED_VALUE"""),20539)</f>
        <v>20539</v>
      </c>
      <c r="E842">
        <f ca="1">IFERROR(__xludf.DUMMYFUNCTION("""COMPUTED_VALUE"""),378)</f>
        <v>378</v>
      </c>
      <c r="F842">
        <v>395</v>
      </c>
      <c r="G842">
        <v>0.95696202531645569</v>
      </c>
      <c r="H842">
        <v>12762</v>
      </c>
      <c r="I842">
        <v>20539</v>
      </c>
      <c r="J842">
        <v>12762</v>
      </c>
      <c r="K842">
        <v>0.98630500883186434</v>
      </c>
      <c r="L842">
        <f t="shared" ca="1" si="81"/>
        <v>234.87823800000001</v>
      </c>
      <c r="M842">
        <f t="shared" si="82"/>
        <v>245.44154499999999</v>
      </c>
      <c r="N842">
        <v>12762</v>
      </c>
      <c r="O842">
        <f t="shared" ca="1" si="83"/>
        <v>0.9569620253164558</v>
      </c>
    </row>
    <row r="843" spans="1:15" x14ac:dyDescent="0.2">
      <c r="A843" t="str">
        <f ca="1">IFERROR(__xludf.DUMMYFUNCTION("""COMPUTED_VALUE"""),"km")</f>
        <v>km</v>
      </c>
      <c r="B843" t="str">
        <f ca="1">IFERROR(__xludf.DUMMYFUNCTION("""COMPUTED_VALUE"""),"Model S 85")</f>
        <v>Model S 85</v>
      </c>
      <c r="D843">
        <f ca="1">IFERROR(__xludf.DUMMYFUNCTION("""COMPUTED_VALUE"""),46000)</f>
        <v>46000</v>
      </c>
      <c r="E843">
        <f ca="1">IFERROR(__xludf.DUMMYFUNCTION("""COMPUTED_VALUE"""),378)</f>
        <v>378</v>
      </c>
      <c r="F843">
        <v>395</v>
      </c>
      <c r="G843">
        <v>0.95696202531645569</v>
      </c>
      <c r="H843">
        <v>28583</v>
      </c>
      <c r="I843">
        <v>46000</v>
      </c>
      <c r="J843">
        <v>28583</v>
      </c>
      <c r="K843">
        <v>0.97040286442141643</v>
      </c>
      <c r="L843">
        <f t="shared" ca="1" si="81"/>
        <v>234.87823800000001</v>
      </c>
      <c r="M843">
        <f t="shared" si="82"/>
        <v>245.44154499999999</v>
      </c>
      <c r="N843">
        <v>28583</v>
      </c>
      <c r="O843">
        <f t="shared" ca="1" si="83"/>
        <v>0.9569620253164558</v>
      </c>
    </row>
    <row r="844" spans="1:15" x14ac:dyDescent="0.2">
      <c r="A844" t="str">
        <f ca="1">IFERROR(__xludf.DUMMYFUNCTION("""COMPUTED_VALUE"""),"km")</f>
        <v>km</v>
      </c>
      <c r="B844" t="str">
        <f ca="1">IFERROR(__xludf.DUMMYFUNCTION("""COMPUTED_VALUE"""),"Model S 85")</f>
        <v>Model S 85</v>
      </c>
      <c r="D844">
        <f ca="1">IFERROR(__xludf.DUMMYFUNCTION("""COMPUTED_VALUE"""),31618)</f>
        <v>31618</v>
      </c>
      <c r="E844">
        <f ca="1">IFERROR(__xludf.DUMMYFUNCTION("""COMPUTED_VALUE"""),378)</f>
        <v>378</v>
      </c>
      <c r="F844">
        <v>395</v>
      </c>
      <c r="G844">
        <v>0.95696202531645569</v>
      </c>
      <c r="H844">
        <v>19647</v>
      </c>
      <c r="I844">
        <v>31618</v>
      </c>
      <c r="J844">
        <v>19647</v>
      </c>
      <c r="K844">
        <v>0.97923744373107002</v>
      </c>
      <c r="L844">
        <f t="shared" ca="1" si="81"/>
        <v>234.87823800000001</v>
      </c>
      <c r="M844">
        <f t="shared" si="82"/>
        <v>245.44154499999999</v>
      </c>
      <c r="N844">
        <v>19647</v>
      </c>
      <c r="O844">
        <f t="shared" ca="1" si="83"/>
        <v>0.9569620253164558</v>
      </c>
    </row>
    <row r="845" spans="1:15" x14ac:dyDescent="0.2">
      <c r="A845" t="str">
        <f ca="1">IFERROR(__xludf.DUMMYFUNCTION("""COMPUTED_VALUE"""),"km")</f>
        <v>km</v>
      </c>
      <c r="B845" t="str">
        <f ca="1">IFERROR(__xludf.DUMMYFUNCTION("""COMPUTED_VALUE"""),"Model S 85")</f>
        <v>Model S 85</v>
      </c>
      <c r="D845">
        <f ca="1">IFERROR(__xludf.DUMMYFUNCTION("""COMPUTED_VALUE"""),60588)</f>
        <v>60588</v>
      </c>
      <c r="E845">
        <f ca="1">IFERROR(__xludf.DUMMYFUNCTION("""COMPUTED_VALUE"""),378)</f>
        <v>378</v>
      </c>
      <c r="F845">
        <v>395</v>
      </c>
      <c r="G845">
        <v>0.95696202531645569</v>
      </c>
      <c r="H845">
        <v>37648</v>
      </c>
      <c r="I845">
        <v>60588</v>
      </c>
      <c r="J845">
        <v>37648</v>
      </c>
      <c r="K845">
        <v>0.96184019639746687</v>
      </c>
      <c r="L845">
        <f t="shared" ca="1" si="81"/>
        <v>234.87823800000001</v>
      </c>
      <c r="M845">
        <f t="shared" si="82"/>
        <v>245.44154499999999</v>
      </c>
      <c r="N845">
        <v>37648</v>
      </c>
      <c r="O845">
        <f t="shared" ca="1" si="83"/>
        <v>0.9569620253164558</v>
      </c>
    </row>
    <row r="846" spans="1:15" x14ac:dyDescent="0.2">
      <c r="A846" t="str">
        <f ca="1">IFERROR(__xludf.DUMMYFUNCTION("""COMPUTED_VALUE"""),"km")</f>
        <v>km</v>
      </c>
      <c r="B846" t="str">
        <f ca="1">IFERROR(__xludf.DUMMYFUNCTION("""COMPUTED_VALUE"""),"Unspecified 85 kWh")</f>
        <v>Unspecified 85 kWh</v>
      </c>
      <c r="D846">
        <f ca="1">IFERROR(__xludf.DUMMYFUNCTION("""COMPUTED_VALUE"""),72778)</f>
        <v>72778</v>
      </c>
      <c r="E846">
        <f ca="1">IFERROR(__xludf.DUMMYFUNCTION("""COMPUTED_VALUE"""),378)</f>
        <v>378</v>
      </c>
      <c r="F846">
        <v>395</v>
      </c>
      <c r="G846">
        <v>0.95696202531645569</v>
      </c>
      <c r="H846">
        <v>45222</v>
      </c>
      <c r="I846">
        <v>72778</v>
      </c>
      <c r="J846">
        <v>45222</v>
      </c>
      <c r="K846">
        <v>0.95499766641590322</v>
      </c>
      <c r="L846">
        <f t="shared" ca="1" si="81"/>
        <v>234.87823800000001</v>
      </c>
      <c r="M846">
        <f t="shared" si="82"/>
        <v>245.44154499999999</v>
      </c>
      <c r="N846">
        <v>45222</v>
      </c>
      <c r="O846">
        <f t="shared" ca="1" si="83"/>
        <v>0.9569620253164558</v>
      </c>
    </row>
    <row r="847" spans="1:15" x14ac:dyDescent="0.2">
      <c r="A847" t="str">
        <f ca="1">IFERROR(__xludf.DUMMYFUNCTION("""COMPUTED_VALUE"""),"km")</f>
        <v>km</v>
      </c>
      <c r="B847" t="str">
        <f ca="1">IFERROR(__xludf.DUMMYFUNCTION("""COMPUTED_VALUE"""),"Unspecified 85 kWh")</f>
        <v>Unspecified 85 kWh</v>
      </c>
      <c r="D847">
        <f ca="1">IFERROR(__xludf.DUMMYFUNCTION("""COMPUTED_VALUE"""),39000)</f>
        <v>39000</v>
      </c>
      <c r="E847">
        <f ca="1">IFERROR(__xludf.DUMMYFUNCTION("""COMPUTED_VALUE"""),378)</f>
        <v>378</v>
      </c>
      <c r="F847">
        <v>395</v>
      </c>
      <c r="G847">
        <v>0.95696202531645569</v>
      </c>
      <c r="H847">
        <v>24233</v>
      </c>
      <c r="I847">
        <v>39000</v>
      </c>
      <c r="J847">
        <v>24233</v>
      </c>
      <c r="K847">
        <v>0.97465450403028253</v>
      </c>
      <c r="L847">
        <f t="shared" ca="1" si="81"/>
        <v>234.87823800000001</v>
      </c>
      <c r="M847">
        <f t="shared" si="82"/>
        <v>245.44154499999999</v>
      </c>
      <c r="N847">
        <v>24233</v>
      </c>
      <c r="O847">
        <f t="shared" ca="1" si="83"/>
        <v>0.9569620253164558</v>
      </c>
    </row>
    <row r="848" spans="1:15" x14ac:dyDescent="0.2">
      <c r="A848" t="str">
        <f ca="1">IFERROR(__xludf.DUMMYFUNCTION("""COMPUTED_VALUE"""),"km")</f>
        <v>km</v>
      </c>
      <c r="B848" t="str">
        <f ca="1">IFERROR(__xludf.DUMMYFUNCTION("""COMPUTED_VALUE"""),"Model S 85")</f>
        <v>Model S 85</v>
      </c>
      <c r="D848">
        <f ca="1">IFERROR(__xludf.DUMMYFUNCTION("""COMPUTED_VALUE"""),53833)</f>
        <v>53833</v>
      </c>
      <c r="E848">
        <f ca="1">IFERROR(__xludf.DUMMYFUNCTION("""COMPUTED_VALUE"""),378)</f>
        <v>378</v>
      </c>
      <c r="F848">
        <v>395</v>
      </c>
      <c r="G848">
        <v>0.95696202531645569</v>
      </c>
      <c r="H848">
        <v>33450</v>
      </c>
      <c r="I848">
        <v>53833</v>
      </c>
      <c r="J848">
        <v>33450</v>
      </c>
      <c r="K848">
        <v>0.96575484822956081</v>
      </c>
      <c r="L848">
        <f t="shared" ca="1" si="81"/>
        <v>234.87823800000001</v>
      </c>
      <c r="M848">
        <f t="shared" si="82"/>
        <v>245.44154499999999</v>
      </c>
      <c r="N848">
        <v>33450</v>
      </c>
      <c r="O848">
        <f t="shared" ca="1" si="83"/>
        <v>0.9569620253164558</v>
      </c>
    </row>
    <row r="849" spans="1:15" x14ac:dyDescent="0.2">
      <c r="A849" t="str">
        <f ca="1">IFERROR(__xludf.DUMMYFUNCTION("""COMPUTED_VALUE"""),"km")</f>
        <v>km</v>
      </c>
      <c r="B849" t="str">
        <f ca="1">IFERROR(__xludf.DUMMYFUNCTION("""COMPUTED_VALUE"""),"Model S P85")</f>
        <v>Model S P85</v>
      </c>
      <c r="D849">
        <f ca="1">IFERROR(__xludf.DUMMYFUNCTION("""COMPUTED_VALUE"""),68000)</f>
        <v>68000</v>
      </c>
      <c r="E849">
        <f ca="1">IFERROR(__xludf.DUMMYFUNCTION("""COMPUTED_VALUE"""),378)</f>
        <v>378</v>
      </c>
      <c r="F849">
        <v>395</v>
      </c>
      <c r="G849">
        <v>0.95696202531645569</v>
      </c>
      <c r="H849">
        <v>42253</v>
      </c>
      <c r="I849">
        <v>68000</v>
      </c>
      <c r="J849">
        <v>42253</v>
      </c>
      <c r="K849">
        <v>0.95764547180201132</v>
      </c>
      <c r="L849">
        <f t="shared" ref="L849:L871" ca="1" si="84">E849*0.621371</f>
        <v>234.87823800000001</v>
      </c>
      <c r="M849">
        <f t="shared" ref="M849:M871" si="85">F849*0.621371</f>
        <v>245.44154499999999</v>
      </c>
      <c r="N849">
        <v>42253</v>
      </c>
      <c r="O849">
        <f t="shared" ca="1" si="83"/>
        <v>0.9569620253164558</v>
      </c>
    </row>
    <row r="850" spans="1:15" x14ac:dyDescent="0.2">
      <c r="A850" t="str">
        <f ca="1">IFERROR(__xludf.DUMMYFUNCTION("""COMPUTED_VALUE"""),"km")</f>
        <v>km</v>
      </c>
      <c r="B850" t="str">
        <f ca="1">IFERROR(__xludf.DUMMYFUNCTION("""COMPUTED_VALUE"""),"Model S 85")</f>
        <v>Model S 85</v>
      </c>
      <c r="D850">
        <f ca="1">IFERROR(__xludf.DUMMYFUNCTION("""COMPUTED_VALUE"""),20500)</f>
        <v>20500</v>
      </c>
      <c r="E850">
        <f ca="1">IFERROR(__xludf.DUMMYFUNCTION("""COMPUTED_VALUE"""),378)</f>
        <v>378</v>
      </c>
      <c r="F850">
        <v>395</v>
      </c>
      <c r="G850">
        <v>0.95696202531645569</v>
      </c>
      <c r="H850">
        <v>12738</v>
      </c>
      <c r="I850">
        <v>20500</v>
      </c>
      <c r="J850">
        <v>12738</v>
      </c>
      <c r="K850">
        <v>0.98633028667459532</v>
      </c>
      <c r="L850">
        <f t="shared" ca="1" si="84"/>
        <v>234.87823800000001</v>
      </c>
      <c r="M850">
        <f t="shared" si="85"/>
        <v>245.44154499999999</v>
      </c>
      <c r="N850">
        <v>12738</v>
      </c>
      <c r="O850">
        <f t="shared" ca="1" si="83"/>
        <v>0.9569620253164558</v>
      </c>
    </row>
    <row r="851" spans="1:15" x14ac:dyDescent="0.2">
      <c r="A851" t="str">
        <f ca="1">IFERROR(__xludf.DUMMYFUNCTION("""COMPUTED_VALUE"""),"km")</f>
        <v>km</v>
      </c>
      <c r="B851" t="str">
        <f ca="1">IFERROR(__xludf.DUMMYFUNCTION("""COMPUTED_VALUE"""),"Model S 85")</f>
        <v>Model S 85</v>
      </c>
      <c r="D851">
        <f ca="1">IFERROR(__xludf.DUMMYFUNCTION("""COMPUTED_VALUE"""),45000)</f>
        <v>45000</v>
      </c>
      <c r="E851">
        <f ca="1">IFERROR(__xludf.DUMMYFUNCTION("""COMPUTED_VALUE"""),378)</f>
        <v>378</v>
      </c>
      <c r="F851">
        <v>395</v>
      </c>
      <c r="G851">
        <v>0.95696202531645569</v>
      </c>
      <c r="H851">
        <v>27962</v>
      </c>
      <c r="I851">
        <v>45000</v>
      </c>
      <c r="J851">
        <v>27962</v>
      </c>
      <c r="K851">
        <v>0.97100460219401419</v>
      </c>
      <c r="L851">
        <f t="shared" ca="1" si="84"/>
        <v>234.87823800000001</v>
      </c>
      <c r="M851">
        <f t="shared" si="85"/>
        <v>245.44154499999999</v>
      </c>
      <c r="N851">
        <v>27962</v>
      </c>
      <c r="O851">
        <f t="shared" ca="1" si="83"/>
        <v>0.9569620253164558</v>
      </c>
    </row>
    <row r="852" spans="1:15" x14ac:dyDescent="0.2">
      <c r="A852" t="str">
        <f ca="1">IFERROR(__xludf.DUMMYFUNCTION("""COMPUTED_VALUE"""),"km")</f>
        <v>km</v>
      </c>
      <c r="B852" t="str">
        <f ca="1">IFERROR(__xludf.DUMMYFUNCTION("""COMPUTED_VALUE"""),"Model S 85")</f>
        <v>Model S 85</v>
      </c>
      <c r="D852">
        <f ca="1">IFERROR(__xludf.DUMMYFUNCTION("""COMPUTED_VALUE"""),45050)</f>
        <v>45050</v>
      </c>
      <c r="E852">
        <f ca="1">IFERROR(__xludf.DUMMYFUNCTION("""COMPUTED_VALUE"""),378)</f>
        <v>378</v>
      </c>
      <c r="F852">
        <v>395</v>
      </c>
      <c r="G852">
        <v>0.95696202531645569</v>
      </c>
      <c r="H852">
        <v>27993</v>
      </c>
      <c r="I852">
        <v>45050</v>
      </c>
      <c r="J852">
        <v>27993</v>
      </c>
      <c r="K852">
        <v>0.97097447055854502</v>
      </c>
      <c r="L852">
        <f t="shared" ca="1" si="84"/>
        <v>234.87823800000001</v>
      </c>
      <c r="M852">
        <f t="shared" si="85"/>
        <v>245.44154499999999</v>
      </c>
      <c r="N852">
        <v>27993</v>
      </c>
      <c r="O852">
        <f t="shared" ca="1" si="83"/>
        <v>0.9569620253164558</v>
      </c>
    </row>
    <row r="853" spans="1:15" x14ac:dyDescent="0.2">
      <c r="A853" t="str">
        <f ca="1">IFERROR(__xludf.DUMMYFUNCTION("""COMPUTED_VALUE"""),"km")</f>
        <v>km</v>
      </c>
      <c r="B853" t="str">
        <f ca="1">IFERROR(__xludf.DUMMYFUNCTION("""COMPUTED_VALUE"""),"Model S 90D")</f>
        <v>Model S 90D</v>
      </c>
      <c r="C853">
        <f ca="1">IFERROR(__xludf.DUMMYFUNCTION("""COMPUTED_VALUE"""),441)</f>
        <v>441</v>
      </c>
      <c r="D853">
        <f ca="1">IFERROR(__xludf.DUMMYFUNCTION("""COMPUTED_VALUE"""),62000)</f>
        <v>62000</v>
      </c>
      <c r="E853">
        <f ca="1">IFERROR(__xludf.DUMMYFUNCTION("""COMPUTED_VALUE"""),428)</f>
        <v>428</v>
      </c>
      <c r="F853">
        <v>447</v>
      </c>
      <c r="G853">
        <v>0.95749440715883671</v>
      </c>
      <c r="H853">
        <v>38525</v>
      </c>
      <c r="I853">
        <v>62000</v>
      </c>
      <c r="J853">
        <v>38525</v>
      </c>
      <c r="K853">
        <v>0.96103294603845657</v>
      </c>
      <c r="L853">
        <f t="shared" ca="1" si="84"/>
        <v>265.94678800000003</v>
      </c>
      <c r="M853">
        <f t="shared" si="85"/>
        <v>277.752837</v>
      </c>
      <c r="N853">
        <v>38525</v>
      </c>
      <c r="O853">
        <f t="shared" ca="1" si="83"/>
        <v>0.95749440715883682</v>
      </c>
    </row>
    <row r="854" spans="1:15" x14ac:dyDescent="0.2">
      <c r="A854" t="str">
        <f ca="1">IFERROR(__xludf.DUMMYFUNCTION("""COMPUTED_VALUE"""),"km")</f>
        <v>km</v>
      </c>
      <c r="B854" t="str">
        <f ca="1">IFERROR(__xludf.DUMMYFUNCTION("""COMPUTED_VALUE"""),"Model S 90D")</f>
        <v>Model S 90D</v>
      </c>
      <c r="C854">
        <f ca="1">IFERROR(__xludf.DUMMYFUNCTION("""COMPUTED_VALUE"""),432)</f>
        <v>432</v>
      </c>
      <c r="D854">
        <f ca="1">IFERROR(__xludf.DUMMYFUNCTION("""COMPUTED_VALUE"""),51222)</f>
        <v>51222</v>
      </c>
      <c r="E854">
        <f ca="1">IFERROR(__xludf.DUMMYFUNCTION("""COMPUTED_VALUE"""),428)</f>
        <v>428</v>
      </c>
      <c r="F854">
        <v>447</v>
      </c>
      <c r="G854">
        <v>0.95749440715883671</v>
      </c>
      <c r="H854">
        <v>31828</v>
      </c>
      <c r="I854">
        <v>51222</v>
      </c>
      <c r="J854">
        <v>31828</v>
      </c>
      <c r="K854">
        <v>0.96729126943294108</v>
      </c>
      <c r="L854">
        <f t="shared" ca="1" si="84"/>
        <v>265.94678800000003</v>
      </c>
      <c r="M854">
        <f t="shared" si="85"/>
        <v>277.752837</v>
      </c>
      <c r="N854">
        <v>31828</v>
      </c>
      <c r="O854">
        <f t="shared" ca="1" si="83"/>
        <v>0.95749440715883682</v>
      </c>
    </row>
    <row r="855" spans="1:15" x14ac:dyDescent="0.2">
      <c r="A855" t="str">
        <f ca="1">IFERROR(__xludf.DUMMYFUNCTION("""COMPUTED_VALUE"""),"km")</f>
        <v>km</v>
      </c>
      <c r="B855" t="str">
        <f ca="1">IFERROR(__xludf.DUMMYFUNCTION("""COMPUTED_VALUE"""),"Model S 90D")</f>
        <v>Model S 90D</v>
      </c>
      <c r="C855">
        <f ca="1">IFERROR(__xludf.DUMMYFUNCTION("""COMPUTED_VALUE"""),426)</f>
        <v>426</v>
      </c>
      <c r="D855">
        <f ca="1">IFERROR(__xludf.DUMMYFUNCTION("""COMPUTED_VALUE"""),26389)</f>
        <v>26389</v>
      </c>
      <c r="E855">
        <f ca="1">IFERROR(__xludf.DUMMYFUNCTION("""COMPUTED_VALUE"""),428)</f>
        <v>428</v>
      </c>
      <c r="F855">
        <v>447</v>
      </c>
      <c r="G855">
        <v>0.95749440715883671</v>
      </c>
      <c r="H855">
        <v>16397</v>
      </c>
      <c r="I855">
        <v>26389</v>
      </c>
      <c r="J855">
        <v>16397</v>
      </c>
      <c r="K855">
        <v>0.98254495434365097</v>
      </c>
      <c r="L855">
        <f t="shared" ca="1" si="84"/>
        <v>265.94678800000003</v>
      </c>
      <c r="M855">
        <f t="shared" si="85"/>
        <v>277.752837</v>
      </c>
      <c r="N855">
        <v>16397</v>
      </c>
      <c r="O855">
        <f t="shared" ca="1" si="83"/>
        <v>0.95749440715883682</v>
      </c>
    </row>
    <row r="856" spans="1:15" x14ac:dyDescent="0.2">
      <c r="A856" t="str">
        <f ca="1">IFERROR(__xludf.DUMMYFUNCTION("""COMPUTED_VALUE"""),"km")</f>
        <v>km</v>
      </c>
      <c r="B856" t="str">
        <f ca="1">IFERROR(__xludf.DUMMYFUNCTION("""COMPUTED_VALUE"""),"Model S 85D")</f>
        <v>Model S 85D</v>
      </c>
      <c r="D856">
        <f ca="1">IFERROR(__xludf.DUMMYFUNCTION("""COMPUTED_VALUE"""),96171)</f>
        <v>96171</v>
      </c>
      <c r="E856">
        <f ca="1">IFERROR(__xludf.DUMMYFUNCTION("""COMPUTED_VALUE"""),407)</f>
        <v>407</v>
      </c>
      <c r="F856">
        <v>425</v>
      </c>
      <c r="G856">
        <v>0.95764705882352941</v>
      </c>
      <c r="H856">
        <v>59758</v>
      </c>
      <c r="I856">
        <v>96171</v>
      </c>
      <c r="J856">
        <v>59758</v>
      </c>
      <c r="K856">
        <v>0.94267904692756066</v>
      </c>
      <c r="L856">
        <f t="shared" ca="1" si="84"/>
        <v>252.897997</v>
      </c>
      <c r="M856">
        <f t="shared" si="85"/>
        <v>264.08267499999999</v>
      </c>
      <c r="N856">
        <v>59758</v>
      </c>
      <c r="O856">
        <f t="shared" ca="1" si="83"/>
        <v>0.95764705882352941</v>
      </c>
    </row>
    <row r="857" spans="1:15" x14ac:dyDescent="0.2">
      <c r="A857" t="str">
        <f ca="1">IFERROR(__xludf.DUMMYFUNCTION("""COMPUTED_VALUE"""),"km")</f>
        <v>km</v>
      </c>
      <c r="B857" t="str">
        <f ca="1">IFERROR(__xludf.DUMMYFUNCTION("""COMPUTED_VALUE"""),"Model S 85D")</f>
        <v>Model S 85D</v>
      </c>
      <c r="D857">
        <f ca="1">IFERROR(__xludf.DUMMYFUNCTION("""COMPUTED_VALUE"""),86489)</f>
        <v>86489</v>
      </c>
      <c r="E857">
        <f ca="1">IFERROR(__xludf.DUMMYFUNCTION("""COMPUTED_VALUE"""),407)</f>
        <v>407</v>
      </c>
      <c r="F857">
        <v>425</v>
      </c>
      <c r="G857">
        <v>0.95764705882352941</v>
      </c>
      <c r="H857">
        <v>53742</v>
      </c>
      <c r="I857">
        <v>86489</v>
      </c>
      <c r="J857">
        <v>53742</v>
      </c>
      <c r="K857">
        <v>0.94764669524902634</v>
      </c>
      <c r="L857">
        <f t="shared" ca="1" si="84"/>
        <v>252.897997</v>
      </c>
      <c r="M857">
        <f t="shared" si="85"/>
        <v>264.08267499999999</v>
      </c>
      <c r="N857">
        <v>53742</v>
      </c>
      <c r="O857">
        <f t="shared" ca="1" si="83"/>
        <v>0.95764705882352941</v>
      </c>
    </row>
    <row r="858" spans="1:15" x14ac:dyDescent="0.2">
      <c r="A858" t="str">
        <f ca="1">IFERROR(__xludf.DUMMYFUNCTION("""COMPUTED_VALUE"""),"km")</f>
        <v>km</v>
      </c>
      <c r="B858" t="str">
        <f ca="1">IFERROR(__xludf.DUMMYFUNCTION("""COMPUTED_VALUE"""),"Model S 85D")</f>
        <v>Model S 85D</v>
      </c>
      <c r="D858">
        <f ca="1">IFERROR(__xludf.DUMMYFUNCTION("""COMPUTED_VALUE"""),45490)</f>
        <v>45490</v>
      </c>
      <c r="E858">
        <f ca="1">IFERROR(__xludf.DUMMYFUNCTION("""COMPUTED_VALUE"""),407)</f>
        <v>407</v>
      </c>
      <c r="F858">
        <v>425</v>
      </c>
      <c r="G858">
        <v>0.95764705882352941</v>
      </c>
      <c r="H858">
        <v>28266</v>
      </c>
      <c r="I858">
        <v>45490</v>
      </c>
      <c r="J858">
        <v>28266</v>
      </c>
      <c r="K858">
        <v>0.97070951523076188</v>
      </c>
      <c r="L858">
        <f t="shared" ca="1" si="84"/>
        <v>252.897997</v>
      </c>
      <c r="M858">
        <f t="shared" si="85"/>
        <v>264.08267499999999</v>
      </c>
      <c r="N858">
        <v>28266</v>
      </c>
      <c r="O858">
        <f t="shared" ca="1" si="83"/>
        <v>0.95764705882352941</v>
      </c>
    </row>
    <row r="859" spans="1:15" x14ac:dyDescent="0.2">
      <c r="A859" t="str">
        <f ca="1">IFERROR(__xludf.DUMMYFUNCTION("""COMPUTED_VALUE"""),"km")</f>
        <v>km</v>
      </c>
      <c r="B859" t="str">
        <f ca="1">IFERROR(__xludf.DUMMYFUNCTION("""COMPUTED_VALUE"""),"Model S 85D")</f>
        <v>Model S 85D</v>
      </c>
      <c r="D859">
        <f ca="1">IFERROR(__xludf.DUMMYFUNCTION("""COMPUTED_VALUE"""),4021)</f>
        <v>4021</v>
      </c>
      <c r="E859">
        <f ca="1">IFERROR(__xludf.DUMMYFUNCTION("""COMPUTED_VALUE"""),407)</f>
        <v>407</v>
      </c>
      <c r="F859">
        <v>425</v>
      </c>
      <c r="G859">
        <v>0.95764705882352941</v>
      </c>
      <c r="H859">
        <v>2499</v>
      </c>
      <c r="I859">
        <v>4021</v>
      </c>
      <c r="J859">
        <v>2499</v>
      </c>
      <c r="K859">
        <v>0.99725889338278495</v>
      </c>
      <c r="L859">
        <f t="shared" ca="1" si="84"/>
        <v>252.897997</v>
      </c>
      <c r="M859">
        <f t="shared" si="85"/>
        <v>264.08267499999999</v>
      </c>
      <c r="N859">
        <v>2499</v>
      </c>
      <c r="O859">
        <f t="shared" ca="1" si="83"/>
        <v>0.95764705882352941</v>
      </c>
    </row>
    <row r="860" spans="1:15" x14ac:dyDescent="0.2">
      <c r="A860" t="str">
        <f ca="1">IFERROR(__xludf.DUMMYFUNCTION("""COMPUTED_VALUE"""),"km")</f>
        <v>km</v>
      </c>
      <c r="B860" t="str">
        <f ca="1">IFERROR(__xludf.DUMMYFUNCTION("""COMPUTED_VALUE"""),"Model S 85D")</f>
        <v>Model S 85D</v>
      </c>
      <c r="C860">
        <f ca="1">IFERROR(__xludf.DUMMYFUNCTION("""COMPUTED_VALUE"""),403)</f>
        <v>403</v>
      </c>
      <c r="D860">
        <f ca="1">IFERROR(__xludf.DUMMYFUNCTION("""COMPUTED_VALUE"""),5165)</f>
        <v>5165</v>
      </c>
      <c r="E860">
        <f ca="1">IFERROR(__xludf.DUMMYFUNCTION("""COMPUTED_VALUE"""),407)</f>
        <v>407</v>
      </c>
      <c r="F860">
        <v>425</v>
      </c>
      <c r="G860">
        <v>0.95764705882352941</v>
      </c>
      <c r="H860">
        <v>3209</v>
      </c>
      <c r="I860">
        <v>5165</v>
      </c>
      <c r="J860">
        <v>3209</v>
      </c>
      <c r="K860">
        <v>0.99648433652333035</v>
      </c>
      <c r="L860">
        <f t="shared" ca="1" si="84"/>
        <v>252.897997</v>
      </c>
      <c r="M860">
        <f t="shared" si="85"/>
        <v>264.08267499999999</v>
      </c>
      <c r="N860">
        <v>3209</v>
      </c>
      <c r="O860">
        <f t="shared" ca="1" si="83"/>
        <v>0.95764705882352941</v>
      </c>
    </row>
    <row r="861" spans="1:15" x14ac:dyDescent="0.2">
      <c r="A861" t="str">
        <f ca="1">IFERROR(__xludf.DUMMYFUNCTION("""COMPUTED_VALUE"""),"km")</f>
        <v>km</v>
      </c>
      <c r="B861" t="str">
        <f ca="1">IFERROR(__xludf.DUMMYFUNCTION("""COMPUTED_VALUE"""),"Model S 60")</f>
        <v>Model S 60</v>
      </c>
      <c r="D861">
        <f ca="1">IFERROR(__xludf.DUMMYFUNCTION("""COMPUTED_VALUE"""),18793)</f>
        <v>18793</v>
      </c>
      <c r="E861">
        <f ca="1">IFERROR(__xludf.DUMMYFUNCTION("""COMPUTED_VALUE"""),272)</f>
        <v>272</v>
      </c>
      <c r="F861">
        <v>284</v>
      </c>
      <c r="G861">
        <v>0.95774647887323938</v>
      </c>
      <c r="H861">
        <v>11677</v>
      </c>
      <c r="I861">
        <v>18793</v>
      </c>
      <c r="J861">
        <v>11677</v>
      </c>
      <c r="K861">
        <v>0.98743940625124926</v>
      </c>
      <c r="L861">
        <f t="shared" ca="1" si="84"/>
        <v>169.012912</v>
      </c>
      <c r="M861">
        <f t="shared" si="85"/>
        <v>176.46936400000001</v>
      </c>
      <c r="N861">
        <v>11677</v>
      </c>
      <c r="O861">
        <f t="shared" ca="1" si="83"/>
        <v>0.95774647887323938</v>
      </c>
    </row>
    <row r="862" spans="1:15" x14ac:dyDescent="0.2">
      <c r="A862" t="str">
        <f ca="1">IFERROR(__xludf.DUMMYFUNCTION("""COMPUTED_VALUE"""),"km")</f>
        <v>km</v>
      </c>
      <c r="B862" t="str">
        <f ca="1">IFERROR(__xludf.DUMMYFUNCTION("""COMPUTED_VALUE"""),"Model S 60")</f>
        <v>Model S 60</v>
      </c>
      <c r="D862">
        <f ca="1">IFERROR(__xludf.DUMMYFUNCTION("""COMPUTED_VALUE"""),14267)</f>
        <v>14267</v>
      </c>
      <c r="E862">
        <f ca="1">IFERROR(__xludf.DUMMYFUNCTION("""COMPUTED_VALUE"""),272)</f>
        <v>272</v>
      </c>
      <c r="F862">
        <v>284</v>
      </c>
      <c r="G862">
        <v>0.95774647887323938</v>
      </c>
      <c r="H862">
        <v>8865</v>
      </c>
      <c r="I862">
        <v>14267</v>
      </c>
      <c r="J862">
        <v>8865</v>
      </c>
      <c r="K862">
        <v>0.99040592366587621</v>
      </c>
      <c r="L862">
        <f t="shared" ca="1" si="84"/>
        <v>169.012912</v>
      </c>
      <c r="M862">
        <f t="shared" si="85"/>
        <v>176.46936400000001</v>
      </c>
      <c r="N862">
        <v>8865</v>
      </c>
      <c r="O862">
        <f t="shared" ca="1" si="83"/>
        <v>0.95774647887323938</v>
      </c>
    </row>
    <row r="863" spans="1:15" x14ac:dyDescent="0.2">
      <c r="A863" t="str">
        <f ca="1">IFERROR(__xludf.DUMMYFUNCTION("""COMPUTED_VALUE"""),"km")</f>
        <v>km</v>
      </c>
      <c r="B863" t="str">
        <f ca="1">IFERROR(__xludf.DUMMYFUNCTION("""COMPUTED_VALUE"""),"Model S P85D")</f>
        <v>Model S P85D</v>
      </c>
      <c r="C863">
        <f ca="1">IFERROR(__xludf.DUMMYFUNCTION("""COMPUTED_VALUE"""),406)</f>
        <v>406</v>
      </c>
      <c r="D863">
        <f ca="1">IFERROR(__xludf.DUMMYFUNCTION("""COMPUTED_VALUE"""),36535)</f>
        <v>36535</v>
      </c>
      <c r="E863">
        <f ca="1">IFERROR(__xludf.DUMMYFUNCTION("""COMPUTED_VALUE"""),386)</f>
        <v>386</v>
      </c>
      <c r="F863">
        <v>403</v>
      </c>
      <c r="G863">
        <v>0.95781637717121593</v>
      </c>
      <c r="H863">
        <v>22702</v>
      </c>
      <c r="I863">
        <v>36535</v>
      </c>
      <c r="J863">
        <v>22702</v>
      </c>
      <c r="K863">
        <v>0.97617354712139148</v>
      </c>
      <c r="L863">
        <f t="shared" ca="1" si="84"/>
        <v>239.84920600000001</v>
      </c>
      <c r="M863">
        <f t="shared" si="85"/>
        <v>250.41251299999999</v>
      </c>
      <c r="N863">
        <v>22702</v>
      </c>
      <c r="O863">
        <f t="shared" ca="1" si="83"/>
        <v>0.95781637717121593</v>
      </c>
    </row>
    <row r="864" spans="1:15" x14ac:dyDescent="0.2">
      <c r="A864" t="str">
        <f ca="1">IFERROR(__xludf.DUMMYFUNCTION("""COMPUTED_VALUE"""),"km")</f>
        <v>km</v>
      </c>
      <c r="B864" t="str">
        <f ca="1">IFERROR(__xludf.DUMMYFUNCTION("""COMPUTED_VALUE"""),"Model S P85D")</f>
        <v>Model S P85D</v>
      </c>
      <c r="C864">
        <f ca="1">IFERROR(__xludf.DUMMYFUNCTION("""COMPUTED_VALUE"""),406)</f>
        <v>406</v>
      </c>
      <c r="D864">
        <f ca="1">IFERROR(__xludf.DUMMYFUNCTION("""COMPUTED_VALUE"""),36095)</f>
        <v>36095</v>
      </c>
      <c r="E864">
        <f ca="1">IFERROR(__xludf.DUMMYFUNCTION("""COMPUTED_VALUE"""),386)</f>
        <v>386</v>
      </c>
      <c r="F864">
        <v>403</v>
      </c>
      <c r="G864">
        <v>0.95781637717121593</v>
      </c>
      <c r="H864">
        <v>22428</v>
      </c>
      <c r="I864">
        <v>36095</v>
      </c>
      <c r="J864">
        <v>22428</v>
      </c>
      <c r="K864">
        <v>0.97644588781004127</v>
      </c>
      <c r="L864">
        <f t="shared" ca="1" si="84"/>
        <v>239.84920600000001</v>
      </c>
      <c r="M864">
        <f t="shared" si="85"/>
        <v>250.41251299999999</v>
      </c>
      <c r="N864">
        <v>22428</v>
      </c>
      <c r="O864">
        <f t="shared" ca="1" si="83"/>
        <v>0.95781637717121593</v>
      </c>
    </row>
    <row r="865" spans="1:15" x14ac:dyDescent="0.2">
      <c r="A865" t="str">
        <f ca="1">IFERROR(__xludf.DUMMYFUNCTION("""COMPUTED_VALUE"""),"km")</f>
        <v>km</v>
      </c>
      <c r="B865" t="str">
        <f ca="1">IFERROR(__xludf.DUMMYFUNCTION("""COMPUTED_VALUE"""),"Model S 90D 2015")</f>
        <v>Model S 90D 2015</v>
      </c>
      <c r="D865">
        <f ca="1">IFERROR(__xludf.DUMMYFUNCTION("""COMPUTED_VALUE"""),9200)</f>
        <v>9200</v>
      </c>
      <c r="E865">
        <f ca="1">IFERROR(__xludf.DUMMYFUNCTION("""COMPUTED_VALUE"""),409)</f>
        <v>409</v>
      </c>
      <c r="F865">
        <v>427</v>
      </c>
      <c r="G865">
        <v>0.95784543325526927</v>
      </c>
      <c r="H865">
        <v>5717</v>
      </c>
      <c r="I865">
        <v>9200</v>
      </c>
      <c r="J865">
        <v>5717</v>
      </c>
      <c r="K865">
        <v>0.9937712273236603</v>
      </c>
      <c r="L865">
        <f t="shared" ca="1" si="84"/>
        <v>254.140739</v>
      </c>
      <c r="M865">
        <f t="shared" si="85"/>
        <v>265.32541700000002</v>
      </c>
      <c r="N865">
        <v>5717</v>
      </c>
      <c r="O865">
        <f t="shared" ca="1" si="83"/>
        <v>0.95784543325526927</v>
      </c>
    </row>
    <row r="866" spans="1:15" x14ac:dyDescent="0.2">
      <c r="A866" t="str">
        <f ca="1">IFERROR(__xludf.DUMMYFUNCTION("""COMPUTED_VALUE"""),"km")</f>
        <v>km</v>
      </c>
      <c r="B866" t="str">
        <f ca="1">IFERROR(__xludf.DUMMYFUNCTION("""COMPUTED_VALUE"""),"Model 3 LR AWD")</f>
        <v>Model 3 LR AWD</v>
      </c>
      <c r="C866">
        <f ca="1">IFERROR(__xludf.DUMMYFUNCTION("""COMPUTED_VALUE"""),499)</f>
        <v>499</v>
      </c>
      <c r="D866">
        <f ca="1">IFERROR(__xludf.DUMMYFUNCTION("""COMPUTED_VALUE"""),31196)</f>
        <v>31196</v>
      </c>
      <c r="E866">
        <f ca="1">IFERROR(__xludf.DUMMYFUNCTION("""COMPUTED_VALUE"""),478)</f>
        <v>478</v>
      </c>
      <c r="F866">
        <v>499</v>
      </c>
      <c r="G866">
        <v>0.95791583166332661</v>
      </c>
      <c r="H866">
        <v>19384</v>
      </c>
      <c r="I866">
        <v>31196</v>
      </c>
      <c r="J866">
        <v>19384</v>
      </c>
      <c r="K866">
        <v>0.97950249490138797</v>
      </c>
      <c r="L866">
        <f t="shared" ca="1" si="84"/>
        <v>297.01533799999999</v>
      </c>
      <c r="M866">
        <f t="shared" si="85"/>
        <v>310.06412899999998</v>
      </c>
      <c r="N866">
        <v>19384</v>
      </c>
      <c r="O866">
        <f t="shared" ca="1" si="83"/>
        <v>0.95791583166332672</v>
      </c>
    </row>
    <row r="867" spans="1:15" x14ac:dyDescent="0.2">
      <c r="A867" t="str">
        <f ca="1">IFERROR(__xludf.DUMMYFUNCTION("""COMPUTED_VALUE"""),"km")</f>
        <v>km</v>
      </c>
      <c r="B867" t="str">
        <f ca="1">IFERROR(__xludf.DUMMYFUNCTION("""COMPUTED_VALUE"""),"Model 3 LR AWD")</f>
        <v>Model 3 LR AWD</v>
      </c>
      <c r="C867">
        <f ca="1">IFERROR(__xludf.DUMMYFUNCTION("""COMPUTED_VALUE"""),499)</f>
        <v>499</v>
      </c>
      <c r="D867">
        <f ca="1">IFERROR(__xludf.DUMMYFUNCTION("""COMPUTED_VALUE"""),19400)</f>
        <v>19400</v>
      </c>
      <c r="E867">
        <f ca="1">IFERROR(__xludf.DUMMYFUNCTION("""COMPUTED_VALUE"""),478)</f>
        <v>478</v>
      </c>
      <c r="F867">
        <v>499</v>
      </c>
      <c r="G867">
        <v>0.95791583166332661</v>
      </c>
      <c r="H867">
        <v>12055</v>
      </c>
      <c r="I867">
        <v>19400</v>
      </c>
      <c r="J867">
        <v>12055</v>
      </c>
      <c r="K867">
        <v>0.9870443984553865</v>
      </c>
      <c r="L867">
        <f t="shared" ca="1" si="84"/>
        <v>297.01533799999999</v>
      </c>
      <c r="M867">
        <f t="shared" si="85"/>
        <v>310.06412899999998</v>
      </c>
      <c r="N867">
        <v>12055</v>
      </c>
      <c r="O867">
        <f t="shared" ca="1" si="83"/>
        <v>0.95791583166332672</v>
      </c>
    </row>
    <row r="868" spans="1:15" x14ac:dyDescent="0.2">
      <c r="A868" t="str">
        <f ca="1">IFERROR(__xludf.DUMMYFUNCTION("""COMPUTED_VALUE"""),"km")</f>
        <v>km</v>
      </c>
      <c r="B868" t="str">
        <f ca="1">IFERROR(__xludf.DUMMYFUNCTION("""COMPUTED_VALUE"""),"Model 3 LR AWD")</f>
        <v>Model 3 LR AWD</v>
      </c>
      <c r="C868">
        <f ca="1">IFERROR(__xludf.DUMMYFUNCTION("""COMPUTED_VALUE"""),499)</f>
        <v>499</v>
      </c>
      <c r="D868">
        <f ca="1">IFERROR(__xludf.DUMMYFUNCTION("""COMPUTED_VALUE"""),12347)</f>
        <v>12347</v>
      </c>
      <c r="E868">
        <f ca="1">IFERROR(__xludf.DUMMYFUNCTION("""COMPUTED_VALUE"""),478)</f>
        <v>478</v>
      </c>
      <c r="F868">
        <v>499</v>
      </c>
      <c r="G868">
        <v>0.95791583166332661</v>
      </c>
      <c r="H868">
        <v>7672</v>
      </c>
      <c r="I868">
        <v>12347</v>
      </c>
      <c r="J868">
        <v>7672</v>
      </c>
      <c r="K868">
        <v>0.99167563258467106</v>
      </c>
      <c r="L868">
        <f t="shared" ca="1" si="84"/>
        <v>297.01533799999999</v>
      </c>
      <c r="M868">
        <f t="shared" si="85"/>
        <v>310.06412899999998</v>
      </c>
      <c r="N868">
        <v>7672</v>
      </c>
      <c r="O868">
        <f t="shared" ca="1" si="83"/>
        <v>0.95791583166332672</v>
      </c>
    </row>
    <row r="869" spans="1:15" x14ac:dyDescent="0.2">
      <c r="A869" t="str">
        <f ca="1">IFERROR(__xludf.DUMMYFUNCTION("""COMPUTED_VALUE"""),"km")</f>
        <v>km</v>
      </c>
      <c r="B869" t="str">
        <f ca="1">IFERROR(__xludf.DUMMYFUNCTION("""COMPUTED_VALUE"""),"Model 3 LR AWD")</f>
        <v>Model 3 LR AWD</v>
      </c>
      <c r="C869">
        <f ca="1">IFERROR(__xludf.DUMMYFUNCTION("""COMPUTED_VALUE"""),497)</f>
        <v>497</v>
      </c>
      <c r="D869">
        <f ca="1">IFERROR(__xludf.DUMMYFUNCTION("""COMPUTED_VALUE"""),8800)</f>
        <v>8800</v>
      </c>
      <c r="E869">
        <f ca="1">IFERROR(__xludf.DUMMYFUNCTION("""COMPUTED_VALUE"""),478)</f>
        <v>478</v>
      </c>
      <c r="F869">
        <v>499</v>
      </c>
      <c r="G869">
        <v>0.95791583166332661</v>
      </c>
      <c r="H869">
        <v>5468</v>
      </c>
      <c r="I869">
        <v>8800</v>
      </c>
      <c r="J869">
        <v>5468</v>
      </c>
      <c r="K869">
        <v>0.99403887242336919</v>
      </c>
      <c r="L869">
        <f t="shared" ca="1" si="84"/>
        <v>297.01533799999999</v>
      </c>
      <c r="M869">
        <f t="shared" si="85"/>
        <v>310.06412899999998</v>
      </c>
      <c r="N869">
        <v>5468</v>
      </c>
      <c r="O869">
        <f t="shared" ca="1" si="83"/>
        <v>0.95791583166332672</v>
      </c>
    </row>
    <row r="870" spans="1:15" x14ac:dyDescent="0.2">
      <c r="A870" t="str">
        <f ca="1">IFERROR(__xludf.DUMMYFUNCTION("""COMPUTED_VALUE"""),"km")</f>
        <v>km</v>
      </c>
      <c r="B870" t="str">
        <f ca="1">IFERROR(__xludf.DUMMYFUNCTION("""COMPUTED_VALUE"""),"Model S 85")</f>
        <v>Model S 85</v>
      </c>
      <c r="C870">
        <f ca="1">IFERROR(__xludf.DUMMYFUNCTION("""COMPUTED_VALUE"""),425)</f>
        <v>425</v>
      </c>
      <c r="D870">
        <f ca="1">IFERROR(__xludf.DUMMYFUNCTION("""COMPUTED_VALUE"""),140000)</f>
        <v>140000</v>
      </c>
      <c r="E870">
        <f ca="1">IFERROR(__xludf.DUMMYFUNCTION("""COMPUTED_VALUE"""),410)</f>
        <v>410</v>
      </c>
      <c r="F870">
        <v>428</v>
      </c>
      <c r="G870">
        <v>0.95794392523364491</v>
      </c>
      <c r="H870">
        <v>86992</v>
      </c>
      <c r="I870">
        <v>140000</v>
      </c>
      <c r="J870">
        <v>86992</v>
      </c>
      <c r="K870">
        <v>0.92256250316710808</v>
      </c>
      <c r="L870">
        <f t="shared" ca="1" si="84"/>
        <v>254.76211000000001</v>
      </c>
      <c r="M870">
        <f t="shared" si="85"/>
        <v>265.94678800000003</v>
      </c>
      <c r="N870">
        <v>86992</v>
      </c>
      <c r="O870">
        <f t="shared" ca="1" si="83"/>
        <v>0.9579439252336448</v>
      </c>
    </row>
    <row r="871" spans="1:15" x14ac:dyDescent="0.2">
      <c r="A871" t="str">
        <f ca="1">IFERROR(__xludf.DUMMYFUNCTION("""COMPUTED_VALUE"""),"km")</f>
        <v>km</v>
      </c>
      <c r="B871" t="str">
        <f ca="1">IFERROR(__xludf.DUMMYFUNCTION("""COMPUTED_VALUE"""),"Model S 85")</f>
        <v>Model S 85</v>
      </c>
      <c r="C871">
        <f ca="1">IFERROR(__xludf.DUMMYFUNCTION("""COMPUTED_VALUE"""),425)</f>
        <v>425</v>
      </c>
      <c r="D871">
        <f ca="1">IFERROR(__xludf.DUMMYFUNCTION("""COMPUTED_VALUE"""),70000)</f>
        <v>70000</v>
      </c>
      <c r="E871">
        <f ca="1">IFERROR(__xludf.DUMMYFUNCTION("""COMPUTED_VALUE"""),410)</f>
        <v>410</v>
      </c>
      <c r="F871">
        <v>428</v>
      </c>
      <c r="G871">
        <v>0.95794392523364491</v>
      </c>
      <c r="H871">
        <v>43496</v>
      </c>
      <c r="I871">
        <v>70000</v>
      </c>
      <c r="J871">
        <v>43496</v>
      </c>
      <c r="K871">
        <v>0.95653175560072434</v>
      </c>
      <c r="L871">
        <f t="shared" ca="1" si="84"/>
        <v>254.76211000000001</v>
      </c>
      <c r="M871">
        <f t="shared" si="85"/>
        <v>265.94678800000003</v>
      </c>
      <c r="N871">
        <v>43496</v>
      </c>
      <c r="O871">
        <f t="shared" ca="1" si="83"/>
        <v>0.9579439252336448</v>
      </c>
    </row>
    <row r="872" spans="1:15" x14ac:dyDescent="0.2">
      <c r="A872" t="str">
        <f ca="1">IFERROR(__xludf.DUMMYFUNCTION("""COMPUTED_VALUE"""),"mi")</f>
        <v>mi</v>
      </c>
      <c r="B872" t="str">
        <f ca="1">IFERROR(__xludf.DUMMYFUNCTION("""COMPUTED_VALUE"""),"Model 3 P")</f>
        <v>Model 3 P</v>
      </c>
      <c r="C872">
        <f ca="1">IFERROR(__xludf.DUMMYFUNCTION("""COMPUTED_VALUE"""),310)</f>
        <v>310</v>
      </c>
      <c r="D872">
        <f ca="1">IFERROR(__xludf.DUMMYFUNCTION("""COMPUTED_VALUE"""),12000)</f>
        <v>12000</v>
      </c>
      <c r="E872">
        <f ca="1">IFERROR(__xludf.DUMMYFUNCTION("""COMPUTED_VALUE"""),297)</f>
        <v>297</v>
      </c>
      <c r="F872">
        <v>310</v>
      </c>
      <c r="G872">
        <v>0.95806451612903221</v>
      </c>
      <c r="H872">
        <v>12000</v>
      </c>
      <c r="I872">
        <v>19312</v>
      </c>
      <c r="J872">
        <v>12000</v>
      </c>
      <c r="K872">
        <v>0.98710162305976779</v>
      </c>
      <c r="L872">
        <f ca="1">IFERROR(__xludf.DUMMYFUNCTION("""COMPUTED_VALUE"""),297)</f>
        <v>297</v>
      </c>
      <c r="M872">
        <v>310</v>
      </c>
      <c r="N872">
        <v>12000</v>
      </c>
      <c r="O872">
        <f t="shared" ca="1" si="83"/>
        <v>0.95806451612903221</v>
      </c>
    </row>
    <row r="873" spans="1:15" x14ac:dyDescent="0.2">
      <c r="A873" t="str">
        <f ca="1">IFERROR(__xludf.DUMMYFUNCTION("""COMPUTED_VALUE"""),"mi")</f>
        <v>mi</v>
      </c>
      <c r="B873" t="str">
        <f ca="1">IFERROR(__xludf.DUMMYFUNCTION("""COMPUTED_VALUE"""),"Model 3 P")</f>
        <v>Model 3 P</v>
      </c>
      <c r="D873">
        <f ca="1">IFERROR(__xludf.DUMMYFUNCTION("""COMPUTED_VALUE"""),11451)</f>
        <v>11451</v>
      </c>
      <c r="E873">
        <f ca="1">IFERROR(__xludf.DUMMYFUNCTION("""COMPUTED_VALUE"""),297)</f>
        <v>297</v>
      </c>
      <c r="F873">
        <v>310</v>
      </c>
      <c r="G873">
        <v>0.95806451612903221</v>
      </c>
      <c r="H873">
        <v>11451</v>
      </c>
      <c r="I873">
        <v>18429</v>
      </c>
      <c r="J873">
        <v>11451</v>
      </c>
      <c r="K873">
        <v>0.98767660387639156</v>
      </c>
      <c r="L873">
        <f ca="1">IFERROR(__xludf.DUMMYFUNCTION("""COMPUTED_VALUE"""),297)</f>
        <v>297</v>
      </c>
      <c r="M873">
        <v>310</v>
      </c>
      <c r="N873">
        <v>11451</v>
      </c>
      <c r="O873">
        <f t="shared" ca="1" si="83"/>
        <v>0.95806451612903221</v>
      </c>
    </row>
    <row r="874" spans="1:15" x14ac:dyDescent="0.2">
      <c r="A874" t="str">
        <f ca="1">IFERROR(__xludf.DUMMYFUNCTION("""COMPUTED_VALUE"""),"km")</f>
        <v>km</v>
      </c>
      <c r="B874" t="str">
        <f ca="1">IFERROR(__xludf.DUMMYFUNCTION("""COMPUTED_VALUE"""),"Model S 85")</f>
        <v>Model S 85</v>
      </c>
      <c r="D874">
        <f ca="1">IFERROR(__xludf.DUMMYFUNCTION("""COMPUTED_VALUE"""),97893)</f>
        <v>97893</v>
      </c>
      <c r="E874">
        <f ca="1">IFERROR(__xludf.DUMMYFUNCTION("""COMPUTED_VALUE"""),378.5)</f>
        <v>378.5</v>
      </c>
      <c r="F874">
        <v>395</v>
      </c>
      <c r="G874">
        <v>0.95822784810126582</v>
      </c>
      <c r="H874">
        <v>60828</v>
      </c>
      <c r="I874">
        <v>97893</v>
      </c>
      <c r="J874">
        <v>60828</v>
      </c>
      <c r="K874">
        <v>0.94181506116831137</v>
      </c>
      <c r="L874">
        <f t="shared" ref="L874:M877" ca="1" si="86">E874*0.621371</f>
        <v>235.18892350000002</v>
      </c>
      <c r="M874">
        <f t="shared" si="86"/>
        <v>245.44154499999999</v>
      </c>
      <c r="N874">
        <v>60828</v>
      </c>
      <c r="O874">
        <f t="shared" ca="1" si="83"/>
        <v>0.95822784810126593</v>
      </c>
    </row>
    <row r="875" spans="1:15" x14ac:dyDescent="0.2">
      <c r="A875" t="str">
        <f ca="1">IFERROR(__xludf.DUMMYFUNCTION("""COMPUTED_VALUE"""),"km")</f>
        <v>km</v>
      </c>
      <c r="B875" t="str">
        <f ca="1">IFERROR(__xludf.DUMMYFUNCTION("""COMPUTED_VALUE"""),"Model S 70D")</f>
        <v>Model S 70D</v>
      </c>
      <c r="C875">
        <f ca="1">IFERROR(__xludf.DUMMYFUNCTION("""COMPUTED_VALUE"""),360)</f>
        <v>360</v>
      </c>
      <c r="D875">
        <f ca="1">IFERROR(__xludf.DUMMYFUNCTION("""COMPUTED_VALUE"""),138550)</f>
        <v>138550</v>
      </c>
      <c r="E875">
        <f ca="1">IFERROR(__xludf.DUMMYFUNCTION("""COMPUTED_VALUE"""),345)</f>
        <v>345</v>
      </c>
      <c r="F875">
        <v>360</v>
      </c>
      <c r="G875">
        <v>0.95833333333333337</v>
      </c>
      <c r="H875">
        <v>86091</v>
      </c>
      <c r="I875">
        <v>138550</v>
      </c>
      <c r="J875">
        <v>86091</v>
      </c>
      <c r="K875">
        <v>0.92316465705926776</v>
      </c>
      <c r="L875">
        <f t="shared" ca="1" si="86"/>
        <v>214.372995</v>
      </c>
      <c r="M875">
        <f t="shared" si="86"/>
        <v>223.69355999999999</v>
      </c>
      <c r="N875">
        <v>86091</v>
      </c>
      <c r="O875">
        <f t="shared" ca="1" si="83"/>
        <v>0.95833333333333337</v>
      </c>
    </row>
    <row r="876" spans="1:15" x14ac:dyDescent="0.2">
      <c r="A876" t="str">
        <f ca="1">IFERROR(__xludf.DUMMYFUNCTION("""COMPUTED_VALUE"""),"km")</f>
        <v>km</v>
      </c>
      <c r="B876" t="str">
        <f ca="1">IFERROR(__xludf.DUMMYFUNCTION("""COMPUTED_VALUE"""),"Model S 70D")</f>
        <v>Model S 70D</v>
      </c>
      <c r="C876">
        <f ca="1">IFERROR(__xludf.DUMMYFUNCTION("""COMPUTED_VALUE"""),360)</f>
        <v>360</v>
      </c>
      <c r="D876">
        <f ca="1">IFERROR(__xludf.DUMMYFUNCTION("""COMPUTED_VALUE"""),46445)</f>
        <v>46445</v>
      </c>
      <c r="E876">
        <f ca="1">IFERROR(__xludf.DUMMYFUNCTION("""COMPUTED_VALUE"""),345)</f>
        <v>345</v>
      </c>
      <c r="F876">
        <v>360</v>
      </c>
      <c r="G876">
        <v>0.95833333333333337</v>
      </c>
      <c r="H876">
        <v>28860</v>
      </c>
      <c r="I876">
        <v>46445</v>
      </c>
      <c r="J876">
        <v>28860</v>
      </c>
      <c r="K876">
        <v>0.97013569718695736</v>
      </c>
      <c r="L876">
        <f t="shared" ca="1" si="86"/>
        <v>214.372995</v>
      </c>
      <c r="M876">
        <f t="shared" si="86"/>
        <v>223.69355999999999</v>
      </c>
      <c r="N876">
        <v>28860</v>
      </c>
      <c r="O876">
        <f t="shared" ca="1" si="83"/>
        <v>0.95833333333333337</v>
      </c>
    </row>
    <row r="877" spans="1:15" x14ac:dyDescent="0.2">
      <c r="A877" t="str">
        <f ca="1">IFERROR(__xludf.DUMMYFUNCTION("""COMPUTED_VALUE"""),"km")</f>
        <v>km</v>
      </c>
      <c r="B877" t="str">
        <f ca="1">IFERROR(__xludf.DUMMYFUNCTION("""COMPUTED_VALUE"""),"Model S 70D")</f>
        <v>Model S 70D</v>
      </c>
      <c r="C877">
        <f ca="1">IFERROR(__xludf.DUMMYFUNCTION("""COMPUTED_VALUE"""),352)</f>
        <v>352</v>
      </c>
      <c r="D877">
        <f ca="1">IFERROR(__xludf.DUMMYFUNCTION("""COMPUTED_VALUE"""),32788)</f>
        <v>32788</v>
      </c>
      <c r="E877">
        <f ca="1">IFERROR(__xludf.DUMMYFUNCTION("""COMPUTED_VALUE"""),345)</f>
        <v>345</v>
      </c>
      <c r="F877">
        <v>360</v>
      </c>
      <c r="G877">
        <v>0.95833333333333337</v>
      </c>
      <c r="H877">
        <v>20374</v>
      </c>
      <c r="I877">
        <v>32788</v>
      </c>
      <c r="J877">
        <v>20374</v>
      </c>
      <c r="K877">
        <v>0.97850431424516271</v>
      </c>
      <c r="L877">
        <f t="shared" ca="1" si="86"/>
        <v>214.372995</v>
      </c>
      <c r="M877">
        <f t="shared" si="86"/>
        <v>223.69355999999999</v>
      </c>
      <c r="N877">
        <v>20374</v>
      </c>
      <c r="O877">
        <f t="shared" ca="1" si="83"/>
        <v>0.95833333333333337</v>
      </c>
    </row>
    <row r="878" spans="1:15" x14ac:dyDescent="0.2">
      <c r="A878" t="str">
        <f ca="1">IFERROR(__xludf.DUMMYFUNCTION("""COMPUTED_VALUE"""),"mi")</f>
        <v>mi</v>
      </c>
      <c r="B878" t="str">
        <f ca="1">IFERROR(__xludf.DUMMYFUNCTION("""COMPUTED_VALUE"""),"Model S 70D")</f>
        <v>Model S 70D</v>
      </c>
      <c r="D878">
        <f ca="1">IFERROR(__xludf.DUMMYFUNCTION("""COMPUTED_VALUE"""),20506)</f>
        <v>20506</v>
      </c>
      <c r="E878">
        <f ca="1">IFERROR(__xludf.DUMMYFUNCTION("""COMPUTED_VALUE"""),230)</f>
        <v>230</v>
      </c>
      <c r="F878">
        <v>240</v>
      </c>
      <c r="G878">
        <v>0.95833333333333337</v>
      </c>
      <c r="H878">
        <v>20506</v>
      </c>
      <c r="I878">
        <v>33001</v>
      </c>
      <c r="J878">
        <v>20506</v>
      </c>
      <c r="K878">
        <v>0.97837112055841979</v>
      </c>
      <c r="L878">
        <f ca="1">IFERROR(__xludf.DUMMYFUNCTION("""COMPUTED_VALUE"""),230)</f>
        <v>230</v>
      </c>
      <c r="M878">
        <v>240</v>
      </c>
      <c r="N878">
        <v>20506</v>
      </c>
      <c r="O878">
        <f t="shared" ca="1" si="83"/>
        <v>0.95833333333333337</v>
      </c>
    </row>
    <row r="879" spans="1:15" x14ac:dyDescent="0.2">
      <c r="A879" t="str">
        <f ca="1">IFERROR(__xludf.DUMMYFUNCTION("""COMPUTED_VALUE"""),"mi")</f>
        <v>mi</v>
      </c>
      <c r="B879" t="str">
        <f ca="1">IFERROR(__xludf.DUMMYFUNCTION("""COMPUTED_VALUE"""),"Model S 85")</f>
        <v>Model S 85</v>
      </c>
      <c r="C879">
        <f ca="1">IFERROR(__xludf.DUMMYFUNCTION("""COMPUTED_VALUE"""),262)</f>
        <v>262</v>
      </c>
      <c r="D879">
        <f ca="1">IFERROR(__xludf.DUMMYFUNCTION("""COMPUTED_VALUE"""),47500)</f>
        <v>47500</v>
      </c>
      <c r="E879">
        <f ca="1">IFERROR(__xludf.DUMMYFUNCTION("""COMPUTED_VALUE"""),255)</f>
        <v>255</v>
      </c>
      <c r="F879">
        <v>266</v>
      </c>
      <c r="G879">
        <v>0.95864661654135341</v>
      </c>
      <c r="H879">
        <v>47500</v>
      </c>
      <c r="I879">
        <v>76444</v>
      </c>
      <c r="J879">
        <v>47500</v>
      </c>
      <c r="K879">
        <v>0.95299616491981876</v>
      </c>
      <c r="L879">
        <f ca="1">IFERROR(__xludf.DUMMYFUNCTION("""COMPUTED_VALUE"""),255)</f>
        <v>255</v>
      </c>
      <c r="M879">
        <v>266</v>
      </c>
      <c r="N879">
        <v>47500</v>
      </c>
      <c r="O879">
        <f t="shared" ca="1" si="83"/>
        <v>0.95864661654135341</v>
      </c>
    </row>
    <row r="880" spans="1:15" x14ac:dyDescent="0.2">
      <c r="A880" t="str">
        <f ca="1">IFERROR(__xludf.DUMMYFUNCTION("""COMPUTED_VALUE"""),"mi")</f>
        <v>mi</v>
      </c>
      <c r="B880" t="str">
        <f ca="1">IFERROR(__xludf.DUMMYFUNCTION("""COMPUTED_VALUE"""),"Model S P85")</f>
        <v>Model S P85</v>
      </c>
      <c r="C880">
        <f ca="1">IFERROR(__xludf.DUMMYFUNCTION("""COMPUTED_VALUE"""),265)</f>
        <v>265</v>
      </c>
      <c r="D880">
        <f ca="1">IFERROR(__xludf.DUMMYFUNCTION("""COMPUTED_VALUE"""),47991)</f>
        <v>47991</v>
      </c>
      <c r="E880">
        <f ca="1">IFERROR(__xludf.DUMMYFUNCTION("""COMPUTED_VALUE"""),255)</f>
        <v>255</v>
      </c>
      <c r="F880">
        <v>266</v>
      </c>
      <c r="G880">
        <v>0.95864661654135341</v>
      </c>
      <c r="H880">
        <v>47991</v>
      </c>
      <c r="I880">
        <v>77234</v>
      </c>
      <c r="J880">
        <v>47991</v>
      </c>
      <c r="K880">
        <v>0.95256828553139328</v>
      </c>
      <c r="L880">
        <f ca="1">IFERROR(__xludf.DUMMYFUNCTION("""COMPUTED_VALUE"""),255)</f>
        <v>255</v>
      </c>
      <c r="M880">
        <v>266</v>
      </c>
      <c r="N880">
        <v>47991</v>
      </c>
      <c r="O880">
        <f t="shared" ca="1" si="83"/>
        <v>0.95864661654135341</v>
      </c>
    </row>
    <row r="881" spans="1:15" x14ac:dyDescent="0.2">
      <c r="A881" t="str">
        <f ca="1">IFERROR(__xludf.DUMMYFUNCTION("""COMPUTED_VALUE"""),"mi")</f>
        <v>mi</v>
      </c>
      <c r="B881" t="str">
        <f ca="1">IFERROR(__xludf.DUMMYFUNCTION("""COMPUTED_VALUE"""),"Model S P85")</f>
        <v>Model S P85</v>
      </c>
      <c r="C881">
        <f ca="1">IFERROR(__xludf.DUMMYFUNCTION("""COMPUTED_VALUE"""),265)</f>
        <v>265</v>
      </c>
      <c r="D881">
        <f ca="1">IFERROR(__xludf.DUMMYFUNCTION("""COMPUTED_VALUE"""),54297)</f>
        <v>54297</v>
      </c>
      <c r="E881">
        <f ca="1">IFERROR(__xludf.DUMMYFUNCTION("""COMPUTED_VALUE"""),255)</f>
        <v>255</v>
      </c>
      <c r="F881">
        <v>266</v>
      </c>
      <c r="G881">
        <v>0.95864661654135341</v>
      </c>
      <c r="H881">
        <v>54297</v>
      </c>
      <c r="I881">
        <v>87383</v>
      </c>
      <c r="J881">
        <v>54297</v>
      </c>
      <c r="K881">
        <v>0.94718021490822291</v>
      </c>
      <c r="L881">
        <f ca="1">IFERROR(__xludf.DUMMYFUNCTION("""COMPUTED_VALUE"""),255)</f>
        <v>255</v>
      </c>
      <c r="M881">
        <v>266</v>
      </c>
      <c r="N881">
        <v>54297</v>
      </c>
      <c r="O881">
        <f t="shared" ca="1" si="83"/>
        <v>0.95864661654135341</v>
      </c>
    </row>
    <row r="882" spans="1:15" x14ac:dyDescent="0.2">
      <c r="A882" t="str">
        <f ca="1">IFERROR(__xludf.DUMMYFUNCTION("""COMPUTED_VALUE"""),"mi")</f>
        <v>mi</v>
      </c>
      <c r="B882" t="str">
        <f ca="1">IFERROR(__xludf.DUMMYFUNCTION("""COMPUTED_VALUE"""),"Model S P85")</f>
        <v>Model S P85</v>
      </c>
      <c r="D882">
        <f ca="1">IFERROR(__xludf.DUMMYFUNCTION("""COMPUTED_VALUE"""),32418)</f>
        <v>32418</v>
      </c>
      <c r="E882">
        <f ca="1">IFERROR(__xludf.DUMMYFUNCTION("""COMPUTED_VALUE"""),255)</f>
        <v>255</v>
      </c>
      <c r="F882">
        <v>266</v>
      </c>
      <c r="G882">
        <v>0.95864661654135341</v>
      </c>
      <c r="H882">
        <v>32418</v>
      </c>
      <c r="I882">
        <v>52172</v>
      </c>
      <c r="J882">
        <v>32418</v>
      </c>
      <c r="K882">
        <v>0.96673075139405695</v>
      </c>
      <c r="L882">
        <f ca="1">IFERROR(__xludf.DUMMYFUNCTION("""COMPUTED_VALUE"""),255)</f>
        <v>255</v>
      </c>
      <c r="M882">
        <v>266</v>
      </c>
      <c r="N882">
        <v>32418</v>
      </c>
      <c r="O882">
        <f t="shared" ca="1" si="83"/>
        <v>0.95864661654135341</v>
      </c>
    </row>
    <row r="883" spans="1:15" x14ac:dyDescent="0.2">
      <c r="A883" t="str">
        <f ca="1">IFERROR(__xludf.DUMMYFUNCTION("""COMPUTED_VALUE"""),"mi")</f>
        <v>mi</v>
      </c>
      <c r="B883" t="str">
        <f ca="1">IFERROR(__xludf.DUMMYFUNCTION("""COMPUTED_VALUE"""),"Model S P85")</f>
        <v>Model S P85</v>
      </c>
      <c r="C883">
        <f ca="1">IFERROR(__xludf.DUMMYFUNCTION("""COMPUTED_VALUE"""),265)</f>
        <v>265</v>
      </c>
      <c r="D883">
        <f ca="1">IFERROR(__xludf.DUMMYFUNCTION("""COMPUTED_VALUE"""),32750)</f>
        <v>32750</v>
      </c>
      <c r="E883">
        <f ca="1">IFERROR(__xludf.DUMMYFUNCTION("""COMPUTED_VALUE"""),255)</f>
        <v>255</v>
      </c>
      <c r="F883">
        <v>266</v>
      </c>
      <c r="G883">
        <v>0.95864661654135341</v>
      </c>
      <c r="H883">
        <v>32750</v>
      </c>
      <c r="I883">
        <v>52706</v>
      </c>
      <c r="J883">
        <v>32750</v>
      </c>
      <c r="K883">
        <v>0.96641643346458717</v>
      </c>
      <c r="L883">
        <f ca="1">IFERROR(__xludf.DUMMYFUNCTION("""COMPUTED_VALUE"""),255)</f>
        <v>255</v>
      </c>
      <c r="M883">
        <v>266</v>
      </c>
      <c r="N883">
        <v>32750</v>
      </c>
      <c r="O883">
        <f t="shared" ca="1" si="83"/>
        <v>0.95864661654135341</v>
      </c>
    </row>
    <row r="884" spans="1:15" x14ac:dyDescent="0.2">
      <c r="A884" t="str">
        <f ca="1">IFERROR(__xludf.DUMMYFUNCTION("""COMPUTED_VALUE"""),"mi")</f>
        <v>mi</v>
      </c>
      <c r="B884" t="str">
        <f ca="1">IFERROR(__xludf.DUMMYFUNCTION("""COMPUTED_VALUE"""),"Model S 85")</f>
        <v>Model S 85</v>
      </c>
      <c r="C884">
        <f ca="1">IFERROR(__xludf.DUMMYFUNCTION("""COMPUTED_VALUE"""),265)</f>
        <v>265</v>
      </c>
      <c r="D884">
        <f ca="1">IFERROR(__xludf.DUMMYFUNCTION("""COMPUTED_VALUE"""),25714)</f>
        <v>25714</v>
      </c>
      <c r="E884">
        <f ca="1">IFERROR(__xludf.DUMMYFUNCTION("""COMPUTED_VALUE"""),255)</f>
        <v>255</v>
      </c>
      <c r="F884">
        <v>266</v>
      </c>
      <c r="G884">
        <v>0.95864661654135341</v>
      </c>
      <c r="H884">
        <v>25714</v>
      </c>
      <c r="I884">
        <v>41383</v>
      </c>
      <c r="J884">
        <v>25714</v>
      </c>
      <c r="K884">
        <v>0.97319679766402345</v>
      </c>
      <c r="L884">
        <f ca="1">IFERROR(__xludf.DUMMYFUNCTION("""COMPUTED_VALUE"""),255)</f>
        <v>255</v>
      </c>
      <c r="M884">
        <v>266</v>
      </c>
      <c r="N884">
        <v>25714</v>
      </c>
      <c r="O884">
        <f t="shared" ca="1" si="83"/>
        <v>0.95864661654135341</v>
      </c>
    </row>
    <row r="885" spans="1:15" x14ac:dyDescent="0.2">
      <c r="A885" t="str">
        <f ca="1">IFERROR(__xludf.DUMMYFUNCTION("""COMPUTED_VALUE"""),"mi")</f>
        <v>mi</v>
      </c>
      <c r="B885" t="str">
        <f ca="1">IFERROR(__xludf.DUMMYFUNCTION("""COMPUTED_VALUE"""),"Model 3 SR")</f>
        <v>Model 3 SR</v>
      </c>
      <c r="C885">
        <f ca="1">IFERROR(__xludf.DUMMYFUNCTION("""COMPUTED_VALUE"""),210)</f>
        <v>210</v>
      </c>
      <c r="D885">
        <f ca="1">IFERROR(__xludf.DUMMYFUNCTION("""COMPUTED_VALUE"""),550)</f>
        <v>550</v>
      </c>
      <c r="E885">
        <f ca="1">IFERROR(__xludf.DUMMYFUNCTION("""COMPUTED_VALUE"""),211)</f>
        <v>211</v>
      </c>
      <c r="F885">
        <v>220</v>
      </c>
      <c r="G885">
        <v>0.95909090909090911</v>
      </c>
      <c r="H885">
        <v>550</v>
      </c>
      <c r="I885">
        <v>885</v>
      </c>
      <c r="J885">
        <v>550</v>
      </c>
      <c r="K885">
        <v>0.99939420959310032</v>
      </c>
      <c r="L885">
        <f ca="1">IFERROR(__xludf.DUMMYFUNCTION("""COMPUTED_VALUE"""),211)</f>
        <v>211</v>
      </c>
      <c r="M885">
        <v>220</v>
      </c>
      <c r="N885">
        <v>550</v>
      </c>
      <c r="O885">
        <f t="shared" ca="1" si="83"/>
        <v>0.95909090909090911</v>
      </c>
    </row>
    <row r="886" spans="1:15" x14ac:dyDescent="0.2">
      <c r="A886" t="str">
        <f ca="1">IFERROR(__xludf.DUMMYFUNCTION("""COMPUTED_VALUE"""),"mi")</f>
        <v>mi</v>
      </c>
      <c r="B886" t="str">
        <f ca="1">IFERROR(__xludf.DUMMYFUNCTION("""COMPUTED_VALUE"""),"Model S 75")</f>
        <v>Model S 75</v>
      </c>
      <c r="C886">
        <f ca="1">IFERROR(__xludf.DUMMYFUNCTION("""COMPUTED_VALUE"""),249)</f>
        <v>249</v>
      </c>
      <c r="D886">
        <f ca="1">IFERROR(__xludf.DUMMYFUNCTION("""COMPUTED_VALUE"""),46700)</f>
        <v>46700</v>
      </c>
      <c r="E886">
        <f ca="1">IFERROR(__xludf.DUMMYFUNCTION("""COMPUTED_VALUE"""),236)</f>
        <v>236</v>
      </c>
      <c r="F886">
        <v>246</v>
      </c>
      <c r="G886">
        <v>0.95934959349593496</v>
      </c>
      <c r="H886">
        <v>46700</v>
      </c>
      <c r="I886">
        <v>75156</v>
      </c>
      <c r="J886">
        <v>46700</v>
      </c>
      <c r="K886">
        <v>0.95369638224735953</v>
      </c>
      <c r="L886">
        <f ca="1">IFERROR(__xludf.DUMMYFUNCTION("""COMPUTED_VALUE"""),236)</f>
        <v>236</v>
      </c>
      <c r="M886">
        <v>246</v>
      </c>
      <c r="N886">
        <v>46700</v>
      </c>
      <c r="O886">
        <f t="shared" ca="1" si="83"/>
        <v>0.95934959349593496</v>
      </c>
    </row>
    <row r="887" spans="1:15" x14ac:dyDescent="0.2">
      <c r="A887" t="str">
        <f ca="1">IFERROR(__xludf.DUMMYFUNCTION("""COMPUTED_VALUE"""),"mi")</f>
        <v>mi</v>
      </c>
      <c r="B887" t="str">
        <f ca="1">IFERROR(__xludf.DUMMYFUNCTION("""COMPUTED_VALUE"""),"Model S 75")</f>
        <v>Model S 75</v>
      </c>
      <c r="D887">
        <f ca="1">IFERROR(__xludf.DUMMYFUNCTION("""COMPUTED_VALUE"""),9235)</f>
        <v>9235</v>
      </c>
      <c r="E887">
        <f ca="1">IFERROR(__xludf.DUMMYFUNCTION("""COMPUTED_VALUE"""),236)</f>
        <v>236</v>
      </c>
      <c r="F887">
        <v>246</v>
      </c>
      <c r="G887">
        <v>0.95934959349593496</v>
      </c>
      <c r="H887">
        <v>9235</v>
      </c>
      <c r="I887">
        <v>14862</v>
      </c>
      <c r="J887">
        <v>9235</v>
      </c>
      <c r="K887">
        <v>0.9900138062909758</v>
      </c>
      <c r="L887">
        <f ca="1">IFERROR(__xludf.DUMMYFUNCTION("""COMPUTED_VALUE"""),236)</f>
        <v>236</v>
      </c>
      <c r="M887">
        <v>246</v>
      </c>
      <c r="N887">
        <v>9235</v>
      </c>
      <c r="O887">
        <f t="shared" ca="1" si="83"/>
        <v>0.95934959349593496</v>
      </c>
    </row>
    <row r="888" spans="1:15" x14ac:dyDescent="0.2">
      <c r="A888" t="str">
        <f ca="1">IFERROR(__xludf.DUMMYFUNCTION("""COMPUTED_VALUE"""),"km")</f>
        <v>km</v>
      </c>
      <c r="B888" t="str">
        <f ca="1">IFERROR(__xludf.DUMMYFUNCTION("""COMPUTED_VALUE"""),"Model S 85")</f>
        <v>Model S 85</v>
      </c>
      <c r="C888">
        <f ca="1">IFERROR(__xludf.DUMMYFUNCTION("""COMPUTED_VALUE"""),382)</f>
        <v>382</v>
      </c>
      <c r="D888">
        <f ca="1">IFERROR(__xludf.DUMMYFUNCTION("""COMPUTED_VALUE"""),42573)</f>
        <v>42573</v>
      </c>
      <c r="E888">
        <f ca="1">IFERROR(__xludf.DUMMYFUNCTION("""COMPUTED_VALUE"""),379)</f>
        <v>379</v>
      </c>
      <c r="F888">
        <v>395</v>
      </c>
      <c r="G888">
        <v>0.95949367088607596</v>
      </c>
      <c r="H888">
        <v>26454</v>
      </c>
      <c r="I888">
        <v>42573</v>
      </c>
      <c r="J888">
        <v>26454</v>
      </c>
      <c r="K888">
        <v>0.97247284767511299</v>
      </c>
      <c r="L888">
        <f t="shared" ref="L888:L922" ca="1" si="87">E888*0.621371</f>
        <v>235.49960899999999</v>
      </c>
      <c r="M888">
        <f t="shared" ref="M888:M922" si="88">F888*0.621371</f>
        <v>245.44154499999999</v>
      </c>
      <c r="N888">
        <v>26454</v>
      </c>
      <c r="O888">
        <f t="shared" ca="1" si="83"/>
        <v>0.95949367088607596</v>
      </c>
    </row>
    <row r="889" spans="1:15" x14ac:dyDescent="0.2">
      <c r="A889" t="str">
        <f ca="1">IFERROR(__xludf.DUMMYFUNCTION("""COMPUTED_VALUE"""),"km")</f>
        <v>km</v>
      </c>
      <c r="B889" t="str">
        <f ca="1">IFERROR(__xludf.DUMMYFUNCTION("""COMPUTED_VALUE"""),"Model S 85")</f>
        <v>Model S 85</v>
      </c>
      <c r="D889">
        <f ca="1">IFERROR(__xludf.DUMMYFUNCTION("""COMPUTED_VALUE"""),90048)</f>
        <v>90048</v>
      </c>
      <c r="E889">
        <f ca="1">IFERROR(__xludf.DUMMYFUNCTION("""COMPUTED_VALUE"""),379)</f>
        <v>379</v>
      </c>
      <c r="F889">
        <v>395</v>
      </c>
      <c r="G889">
        <v>0.95949367088607596</v>
      </c>
      <c r="H889">
        <v>55953</v>
      </c>
      <c r="I889">
        <v>90048</v>
      </c>
      <c r="J889">
        <v>55953</v>
      </c>
      <c r="K889">
        <v>0.94579902231919732</v>
      </c>
      <c r="L889">
        <f t="shared" ca="1" si="87"/>
        <v>235.49960899999999</v>
      </c>
      <c r="M889">
        <f t="shared" si="88"/>
        <v>245.44154499999999</v>
      </c>
      <c r="N889">
        <v>55953</v>
      </c>
      <c r="O889">
        <f t="shared" ca="1" si="83"/>
        <v>0.95949367088607596</v>
      </c>
    </row>
    <row r="890" spans="1:15" x14ac:dyDescent="0.2">
      <c r="A890" t="str">
        <f ca="1">IFERROR(__xludf.DUMMYFUNCTION("""COMPUTED_VALUE"""),"km")</f>
        <v>km</v>
      </c>
      <c r="B890" t="str">
        <f ca="1">IFERROR(__xludf.DUMMYFUNCTION("""COMPUTED_VALUE"""),"Model S 85")</f>
        <v>Model S 85</v>
      </c>
      <c r="D890">
        <f ca="1">IFERROR(__xludf.DUMMYFUNCTION("""COMPUTED_VALUE"""),82512)</f>
        <v>82512</v>
      </c>
      <c r="E890">
        <f ca="1">IFERROR(__xludf.DUMMYFUNCTION("""COMPUTED_VALUE"""),379)</f>
        <v>379</v>
      </c>
      <c r="F890">
        <v>395</v>
      </c>
      <c r="G890">
        <v>0.95949367088607596</v>
      </c>
      <c r="H890">
        <v>51271</v>
      </c>
      <c r="I890">
        <v>82512</v>
      </c>
      <c r="J890">
        <v>51271</v>
      </c>
      <c r="K890">
        <v>0.94974095386818003</v>
      </c>
      <c r="L890">
        <f t="shared" ca="1" si="87"/>
        <v>235.49960899999999</v>
      </c>
      <c r="M890">
        <f t="shared" si="88"/>
        <v>245.44154499999999</v>
      </c>
      <c r="N890">
        <v>51271</v>
      </c>
      <c r="O890">
        <f t="shared" ca="1" si="83"/>
        <v>0.95949367088607596</v>
      </c>
    </row>
    <row r="891" spans="1:15" x14ac:dyDescent="0.2">
      <c r="A891" t="str">
        <f ca="1">IFERROR(__xludf.DUMMYFUNCTION("""COMPUTED_VALUE"""),"km")</f>
        <v>km</v>
      </c>
      <c r="B891" t="str">
        <f ca="1">IFERROR(__xludf.DUMMYFUNCTION("""COMPUTED_VALUE"""),"Model S 85")</f>
        <v>Model S 85</v>
      </c>
      <c r="D891">
        <f ca="1">IFERROR(__xludf.DUMMYFUNCTION("""COMPUTED_VALUE"""),128867.2)</f>
        <v>128867.2</v>
      </c>
      <c r="E891">
        <f ca="1">IFERROR(__xludf.DUMMYFUNCTION("""COMPUTED_VALUE"""),379)</f>
        <v>379</v>
      </c>
      <c r="F891">
        <v>395</v>
      </c>
      <c r="G891">
        <v>0.95949367088607596</v>
      </c>
      <c r="H891">
        <v>80074</v>
      </c>
      <c r="I891">
        <v>128867.2</v>
      </c>
      <c r="J891">
        <v>80074</v>
      </c>
      <c r="K891">
        <v>0.92729824833022145</v>
      </c>
      <c r="L891">
        <f t="shared" ca="1" si="87"/>
        <v>235.49960899999999</v>
      </c>
      <c r="M891">
        <f t="shared" si="88"/>
        <v>245.44154499999999</v>
      </c>
      <c r="N891">
        <v>80074</v>
      </c>
      <c r="O891">
        <f t="shared" ca="1" si="83"/>
        <v>0.95949367088607596</v>
      </c>
    </row>
    <row r="892" spans="1:15" x14ac:dyDescent="0.2">
      <c r="A892" t="str">
        <f ca="1">IFERROR(__xludf.DUMMYFUNCTION("""COMPUTED_VALUE"""),"km")</f>
        <v>km</v>
      </c>
      <c r="B892" t="str">
        <f ca="1">IFERROR(__xludf.DUMMYFUNCTION("""COMPUTED_VALUE"""),"Model S 85")</f>
        <v>Model S 85</v>
      </c>
      <c r="D892">
        <f ca="1">IFERROR(__xludf.DUMMYFUNCTION("""COMPUTED_VALUE"""),95422)</f>
        <v>95422</v>
      </c>
      <c r="E892">
        <f ca="1">IFERROR(__xludf.DUMMYFUNCTION("""COMPUTED_VALUE"""),379)</f>
        <v>379</v>
      </c>
      <c r="F892">
        <v>395</v>
      </c>
      <c r="G892">
        <v>0.95949367088607596</v>
      </c>
      <c r="H892">
        <v>59292</v>
      </c>
      <c r="I892">
        <v>95422</v>
      </c>
      <c r="J892">
        <v>59292</v>
      </c>
      <c r="K892">
        <v>0.94305669335425912</v>
      </c>
      <c r="L892">
        <f t="shared" ca="1" si="87"/>
        <v>235.49960899999999</v>
      </c>
      <c r="M892">
        <f t="shared" si="88"/>
        <v>245.44154499999999</v>
      </c>
      <c r="N892">
        <v>59292</v>
      </c>
      <c r="O892">
        <f t="shared" ca="1" si="83"/>
        <v>0.95949367088607596</v>
      </c>
    </row>
    <row r="893" spans="1:15" x14ac:dyDescent="0.2">
      <c r="A893" t="str">
        <f ca="1">IFERROR(__xludf.DUMMYFUNCTION("""COMPUTED_VALUE"""),"km")</f>
        <v>km</v>
      </c>
      <c r="B893" t="str">
        <f ca="1">IFERROR(__xludf.DUMMYFUNCTION("""COMPUTED_VALUE"""),"Model S P85")</f>
        <v>Model S P85</v>
      </c>
      <c r="D893">
        <f ca="1">IFERROR(__xludf.DUMMYFUNCTION("""COMPUTED_VALUE"""),73397)</f>
        <v>73397</v>
      </c>
      <c r="E893">
        <f ca="1">IFERROR(__xludf.DUMMYFUNCTION("""COMPUTED_VALUE"""),379)</f>
        <v>379</v>
      </c>
      <c r="F893">
        <v>395</v>
      </c>
      <c r="G893">
        <v>0.95949367088607596</v>
      </c>
      <c r="H893">
        <v>45607</v>
      </c>
      <c r="I893">
        <v>73397</v>
      </c>
      <c r="J893">
        <v>45607</v>
      </c>
      <c r="K893">
        <v>0.9546578791796303</v>
      </c>
      <c r="L893">
        <f t="shared" ca="1" si="87"/>
        <v>235.49960899999999</v>
      </c>
      <c r="M893">
        <f t="shared" si="88"/>
        <v>245.44154499999999</v>
      </c>
      <c r="N893">
        <v>45607</v>
      </c>
      <c r="O893">
        <f t="shared" ca="1" si="83"/>
        <v>0.95949367088607596</v>
      </c>
    </row>
    <row r="894" spans="1:15" x14ac:dyDescent="0.2">
      <c r="A894" t="str">
        <f ca="1">IFERROR(__xludf.DUMMYFUNCTION("""COMPUTED_VALUE"""),"km")</f>
        <v>km</v>
      </c>
      <c r="B894" t="str">
        <f ca="1">IFERROR(__xludf.DUMMYFUNCTION("""COMPUTED_VALUE"""),"Model S 85")</f>
        <v>Model S 85</v>
      </c>
      <c r="C894">
        <f ca="1">IFERROR(__xludf.DUMMYFUNCTION("""COMPUTED_VALUE"""),388)</f>
        <v>388</v>
      </c>
      <c r="D894">
        <f ca="1">IFERROR(__xludf.DUMMYFUNCTION("""COMPUTED_VALUE"""),95640)</f>
        <v>95640</v>
      </c>
      <c r="E894">
        <f ca="1">IFERROR(__xludf.DUMMYFUNCTION("""COMPUTED_VALUE"""),379)</f>
        <v>379</v>
      </c>
      <c r="F894">
        <v>395</v>
      </c>
      <c r="G894">
        <v>0.95949367088607596</v>
      </c>
      <c r="H894">
        <v>59428</v>
      </c>
      <c r="I894">
        <v>95640</v>
      </c>
      <c r="J894">
        <v>59428</v>
      </c>
      <c r="K894">
        <v>0.94294666210226985</v>
      </c>
      <c r="L894">
        <f t="shared" ca="1" si="87"/>
        <v>235.49960899999999</v>
      </c>
      <c r="M894">
        <f t="shared" si="88"/>
        <v>245.44154499999999</v>
      </c>
      <c r="N894">
        <v>59428</v>
      </c>
      <c r="O894">
        <f t="shared" ca="1" si="83"/>
        <v>0.95949367088607596</v>
      </c>
    </row>
    <row r="895" spans="1:15" x14ac:dyDescent="0.2">
      <c r="A895" t="str">
        <f ca="1">IFERROR(__xludf.DUMMYFUNCTION("""COMPUTED_VALUE"""),"km")</f>
        <v>km</v>
      </c>
      <c r="B895" t="str">
        <f ca="1">IFERROR(__xludf.DUMMYFUNCTION("""COMPUTED_VALUE"""),"Model S P85+")</f>
        <v>Model S P85+</v>
      </c>
      <c r="D895">
        <f ca="1">IFERROR(__xludf.DUMMYFUNCTION("""COMPUTED_VALUE"""),57228)</f>
        <v>57228</v>
      </c>
      <c r="E895">
        <f ca="1">IFERROR(__xludf.DUMMYFUNCTION("""COMPUTED_VALUE"""),379)</f>
        <v>379</v>
      </c>
      <c r="F895">
        <v>395</v>
      </c>
      <c r="G895">
        <v>0.95949367088607596</v>
      </c>
      <c r="H895">
        <v>35560</v>
      </c>
      <c r="I895">
        <v>57228</v>
      </c>
      <c r="J895">
        <v>35560</v>
      </c>
      <c r="K895">
        <v>0.96377648893889445</v>
      </c>
      <c r="L895">
        <f t="shared" ca="1" si="87"/>
        <v>235.49960899999999</v>
      </c>
      <c r="M895">
        <f t="shared" si="88"/>
        <v>245.44154499999999</v>
      </c>
      <c r="N895">
        <v>35560</v>
      </c>
      <c r="O895">
        <f t="shared" ca="1" si="83"/>
        <v>0.95949367088607596</v>
      </c>
    </row>
    <row r="896" spans="1:15" x14ac:dyDescent="0.2">
      <c r="A896" t="str">
        <f ca="1">IFERROR(__xludf.DUMMYFUNCTION("""COMPUTED_VALUE"""),"km")</f>
        <v>km</v>
      </c>
      <c r="B896" t="str">
        <f ca="1">IFERROR(__xludf.DUMMYFUNCTION("""COMPUTED_VALUE"""),"Model S 85")</f>
        <v>Model S 85</v>
      </c>
      <c r="D896">
        <f ca="1">IFERROR(__xludf.DUMMYFUNCTION("""COMPUTED_VALUE"""),99100)</f>
        <v>99100</v>
      </c>
      <c r="E896">
        <f ca="1">IFERROR(__xludf.DUMMYFUNCTION("""COMPUTED_VALUE"""),379)</f>
        <v>379</v>
      </c>
      <c r="F896">
        <v>395</v>
      </c>
      <c r="G896">
        <v>0.95949367088607596</v>
      </c>
      <c r="H896">
        <v>61578</v>
      </c>
      <c r="I896">
        <v>99100</v>
      </c>
      <c r="J896">
        <v>61578</v>
      </c>
      <c r="K896">
        <v>0.94121300278235576</v>
      </c>
      <c r="L896">
        <f t="shared" ca="1" si="87"/>
        <v>235.49960899999999</v>
      </c>
      <c r="M896">
        <f t="shared" si="88"/>
        <v>245.44154499999999</v>
      </c>
      <c r="N896">
        <v>61578</v>
      </c>
      <c r="O896">
        <f t="shared" ca="1" si="83"/>
        <v>0.95949367088607596</v>
      </c>
    </row>
    <row r="897" spans="1:15" x14ac:dyDescent="0.2">
      <c r="A897" t="str">
        <f ca="1">IFERROR(__xludf.DUMMYFUNCTION("""COMPUTED_VALUE"""),"km")</f>
        <v>km</v>
      </c>
      <c r="B897" t="str">
        <f ca="1">IFERROR(__xludf.DUMMYFUNCTION("""COMPUTED_VALUE"""),"Model S 85")</f>
        <v>Model S 85</v>
      </c>
      <c r="D897">
        <f ca="1">IFERROR(__xludf.DUMMYFUNCTION("""COMPUTED_VALUE"""),91921)</f>
        <v>91921</v>
      </c>
      <c r="E897">
        <f ca="1">IFERROR(__xludf.DUMMYFUNCTION("""COMPUTED_VALUE"""),379)</f>
        <v>379</v>
      </c>
      <c r="F897">
        <v>395</v>
      </c>
      <c r="G897">
        <v>0.95949367088607596</v>
      </c>
      <c r="H897">
        <v>57117</v>
      </c>
      <c r="I897">
        <v>91921</v>
      </c>
      <c r="J897">
        <v>57117</v>
      </c>
      <c r="K897">
        <v>0.94483672179480216</v>
      </c>
      <c r="L897">
        <f t="shared" ca="1" si="87"/>
        <v>235.49960899999999</v>
      </c>
      <c r="M897">
        <f t="shared" si="88"/>
        <v>245.44154499999999</v>
      </c>
      <c r="N897">
        <v>57117</v>
      </c>
      <c r="O897">
        <f t="shared" ca="1" si="83"/>
        <v>0.95949367088607596</v>
      </c>
    </row>
    <row r="898" spans="1:15" x14ac:dyDescent="0.2">
      <c r="A898" t="str">
        <f ca="1">IFERROR(__xludf.DUMMYFUNCTION("""COMPUTED_VALUE"""),"km")</f>
        <v>km</v>
      </c>
      <c r="B898" t="str">
        <f ca="1">IFERROR(__xludf.DUMMYFUNCTION("""COMPUTED_VALUE"""),"Model S 85")</f>
        <v>Model S 85</v>
      </c>
      <c r="C898">
        <f ca="1">IFERROR(__xludf.DUMMYFUNCTION("""COMPUTED_VALUE"""),400)</f>
        <v>400</v>
      </c>
      <c r="D898">
        <f ca="1">IFERROR(__xludf.DUMMYFUNCTION("""COMPUTED_VALUE"""),84000)</f>
        <v>84000</v>
      </c>
      <c r="E898">
        <f ca="1">IFERROR(__xludf.DUMMYFUNCTION("""COMPUTED_VALUE"""),379)</f>
        <v>379</v>
      </c>
      <c r="F898">
        <v>395</v>
      </c>
      <c r="G898">
        <v>0.95949367088607596</v>
      </c>
      <c r="H898">
        <v>52195</v>
      </c>
      <c r="I898">
        <v>84000</v>
      </c>
      <c r="J898">
        <v>52195</v>
      </c>
      <c r="K898">
        <v>0.94895373728199439</v>
      </c>
      <c r="L898">
        <f t="shared" ca="1" si="87"/>
        <v>235.49960899999999</v>
      </c>
      <c r="M898">
        <f t="shared" si="88"/>
        <v>245.44154499999999</v>
      </c>
      <c r="N898">
        <v>52195</v>
      </c>
      <c r="O898">
        <f t="shared" ref="O898:O961" ca="1" si="89">L898/M898</f>
        <v>0.95949367088607596</v>
      </c>
    </row>
    <row r="899" spans="1:15" x14ac:dyDescent="0.2">
      <c r="A899" t="str">
        <f ca="1">IFERROR(__xludf.DUMMYFUNCTION("""COMPUTED_VALUE"""),"km")</f>
        <v>km</v>
      </c>
      <c r="B899" t="str">
        <f ca="1">IFERROR(__xludf.DUMMYFUNCTION("""COMPUTED_VALUE"""),"Model S P85+")</f>
        <v>Model S P85+</v>
      </c>
      <c r="C899">
        <f ca="1">IFERROR(__xludf.DUMMYFUNCTION("""COMPUTED_VALUE"""),400)</f>
        <v>400</v>
      </c>
      <c r="D899">
        <f ca="1">IFERROR(__xludf.DUMMYFUNCTION("""COMPUTED_VALUE"""),116148)</f>
        <v>116148</v>
      </c>
      <c r="E899">
        <f ca="1">IFERROR(__xludf.DUMMYFUNCTION("""COMPUTED_VALUE"""),379)</f>
        <v>379</v>
      </c>
      <c r="F899">
        <v>395</v>
      </c>
      <c r="G899">
        <v>0.95949367088607596</v>
      </c>
      <c r="H899">
        <v>72171</v>
      </c>
      <c r="I899">
        <v>116148</v>
      </c>
      <c r="J899">
        <v>72171</v>
      </c>
      <c r="K899">
        <v>0.93302286259956735</v>
      </c>
      <c r="L899">
        <f t="shared" ca="1" si="87"/>
        <v>235.49960899999999</v>
      </c>
      <c r="M899">
        <f t="shared" si="88"/>
        <v>245.44154499999999</v>
      </c>
      <c r="N899">
        <v>72171</v>
      </c>
      <c r="O899">
        <f t="shared" ca="1" si="89"/>
        <v>0.95949367088607596</v>
      </c>
    </row>
    <row r="900" spans="1:15" x14ac:dyDescent="0.2">
      <c r="A900" t="str">
        <f ca="1">IFERROR(__xludf.DUMMYFUNCTION("""COMPUTED_VALUE"""),"km")</f>
        <v>km</v>
      </c>
      <c r="B900" t="str">
        <f ca="1">IFERROR(__xludf.DUMMYFUNCTION("""COMPUTED_VALUE"""),"Model S 85")</f>
        <v>Model S 85</v>
      </c>
      <c r="D900">
        <f ca="1">IFERROR(__xludf.DUMMYFUNCTION("""COMPUTED_VALUE"""),148150)</f>
        <v>148150</v>
      </c>
      <c r="E900">
        <f ca="1">IFERROR(__xludf.DUMMYFUNCTION("""COMPUTED_VALUE"""),379)</f>
        <v>379</v>
      </c>
      <c r="F900">
        <v>395</v>
      </c>
      <c r="G900">
        <v>0.95949367088607596</v>
      </c>
      <c r="H900">
        <v>92056</v>
      </c>
      <c r="I900">
        <v>148150</v>
      </c>
      <c r="J900">
        <v>92056</v>
      </c>
      <c r="K900">
        <v>0.91926025821062207</v>
      </c>
      <c r="L900">
        <f t="shared" ca="1" si="87"/>
        <v>235.49960899999999</v>
      </c>
      <c r="M900">
        <f t="shared" si="88"/>
        <v>245.44154499999999</v>
      </c>
      <c r="N900">
        <v>92056</v>
      </c>
      <c r="O900">
        <f t="shared" ca="1" si="89"/>
        <v>0.95949367088607596</v>
      </c>
    </row>
    <row r="901" spans="1:15" x14ac:dyDescent="0.2">
      <c r="A901" t="str">
        <f ca="1">IFERROR(__xludf.DUMMYFUNCTION("""COMPUTED_VALUE"""),"km")</f>
        <v>km</v>
      </c>
      <c r="B901" t="str">
        <f ca="1">IFERROR(__xludf.DUMMYFUNCTION("""COMPUTED_VALUE"""),"Model S P85")</f>
        <v>Model S P85</v>
      </c>
      <c r="C901">
        <f ca="1">IFERROR(__xludf.DUMMYFUNCTION("""COMPUTED_VALUE"""),396)</f>
        <v>396</v>
      </c>
      <c r="D901">
        <f ca="1">IFERROR(__xludf.DUMMYFUNCTION("""COMPUTED_VALUE"""),74500)</f>
        <v>74500</v>
      </c>
      <c r="E901">
        <f ca="1">IFERROR(__xludf.DUMMYFUNCTION("""COMPUTED_VALUE"""),379)</f>
        <v>379</v>
      </c>
      <c r="F901">
        <v>395</v>
      </c>
      <c r="G901">
        <v>0.95949367088607596</v>
      </c>
      <c r="H901">
        <v>46292</v>
      </c>
      <c r="I901">
        <v>74500</v>
      </c>
      <c r="J901">
        <v>46292</v>
      </c>
      <c r="K901">
        <v>0.95405425766939322</v>
      </c>
      <c r="L901">
        <f t="shared" ca="1" si="87"/>
        <v>235.49960899999999</v>
      </c>
      <c r="M901">
        <f t="shared" si="88"/>
        <v>245.44154499999999</v>
      </c>
      <c r="N901">
        <v>46292</v>
      </c>
      <c r="O901">
        <f t="shared" ca="1" si="89"/>
        <v>0.95949367088607596</v>
      </c>
    </row>
    <row r="902" spans="1:15" x14ac:dyDescent="0.2">
      <c r="A902" t="str">
        <f ca="1">IFERROR(__xludf.DUMMYFUNCTION("""COMPUTED_VALUE"""),"km")</f>
        <v>km</v>
      </c>
      <c r="B902" t="str">
        <f ca="1">IFERROR(__xludf.DUMMYFUNCTION("""COMPUTED_VALUE"""),"Model S 85")</f>
        <v>Model S 85</v>
      </c>
      <c r="D902">
        <f ca="1">IFERROR(__xludf.DUMMYFUNCTION("""COMPUTED_VALUE"""),36410)</f>
        <v>36410</v>
      </c>
      <c r="E902">
        <f ca="1">IFERROR(__xludf.DUMMYFUNCTION("""COMPUTED_VALUE"""),379)</f>
        <v>379</v>
      </c>
      <c r="F902">
        <v>395</v>
      </c>
      <c r="G902">
        <v>0.95949367088607596</v>
      </c>
      <c r="H902">
        <v>22624</v>
      </c>
      <c r="I902">
        <v>36410</v>
      </c>
      <c r="J902">
        <v>22624</v>
      </c>
      <c r="K902">
        <v>0.9762508799196612</v>
      </c>
      <c r="L902">
        <f t="shared" ca="1" si="87"/>
        <v>235.49960899999999</v>
      </c>
      <c r="M902">
        <f t="shared" si="88"/>
        <v>245.44154499999999</v>
      </c>
      <c r="N902">
        <v>22624</v>
      </c>
      <c r="O902">
        <f t="shared" ca="1" si="89"/>
        <v>0.95949367088607596</v>
      </c>
    </row>
    <row r="903" spans="1:15" x14ac:dyDescent="0.2">
      <c r="A903" t="str">
        <f ca="1">IFERROR(__xludf.DUMMYFUNCTION("""COMPUTED_VALUE"""),"km")</f>
        <v>km</v>
      </c>
      <c r="B903" t="str">
        <f ca="1">IFERROR(__xludf.DUMMYFUNCTION("""COMPUTED_VALUE"""),"Model S 85")</f>
        <v>Model S 85</v>
      </c>
      <c r="D903">
        <f ca="1">IFERROR(__xludf.DUMMYFUNCTION("""COMPUTED_VALUE"""),19225)</f>
        <v>19225</v>
      </c>
      <c r="E903">
        <f ca="1">IFERROR(__xludf.DUMMYFUNCTION("""COMPUTED_VALUE"""),379)</f>
        <v>379</v>
      </c>
      <c r="F903">
        <v>395</v>
      </c>
      <c r="G903">
        <v>0.95949367088607596</v>
      </c>
      <c r="H903">
        <v>11946</v>
      </c>
      <c r="I903">
        <v>19225</v>
      </c>
      <c r="J903">
        <v>11946</v>
      </c>
      <c r="K903">
        <v>0.98715821130931292</v>
      </c>
      <c r="L903">
        <f t="shared" ca="1" si="87"/>
        <v>235.49960899999999</v>
      </c>
      <c r="M903">
        <f t="shared" si="88"/>
        <v>245.44154499999999</v>
      </c>
      <c r="N903">
        <v>11946</v>
      </c>
      <c r="O903">
        <f t="shared" ca="1" si="89"/>
        <v>0.95949367088607596</v>
      </c>
    </row>
    <row r="904" spans="1:15" x14ac:dyDescent="0.2">
      <c r="A904" t="str">
        <f ca="1">IFERROR(__xludf.DUMMYFUNCTION("""COMPUTED_VALUE"""),"km")</f>
        <v>km</v>
      </c>
      <c r="B904" t="str">
        <f ca="1">IFERROR(__xludf.DUMMYFUNCTION("""COMPUTED_VALUE"""),"Model S P85")</f>
        <v>Model S P85</v>
      </c>
      <c r="C904">
        <f ca="1">IFERROR(__xludf.DUMMYFUNCTION("""COMPUTED_VALUE"""),392)</f>
        <v>392</v>
      </c>
      <c r="D904">
        <f ca="1">IFERROR(__xludf.DUMMYFUNCTION("""COMPUTED_VALUE"""),60000)</f>
        <v>60000</v>
      </c>
      <c r="E904">
        <f ca="1">IFERROR(__xludf.DUMMYFUNCTION("""COMPUTED_VALUE"""),379)</f>
        <v>379</v>
      </c>
      <c r="F904">
        <v>395</v>
      </c>
      <c r="G904">
        <v>0.95949367088607596</v>
      </c>
      <c r="H904">
        <v>37282</v>
      </c>
      <c r="I904">
        <v>60000</v>
      </c>
      <c r="J904">
        <v>37282</v>
      </c>
      <c r="K904">
        <v>0.9621774876664213</v>
      </c>
      <c r="L904">
        <f t="shared" ca="1" si="87"/>
        <v>235.49960899999999</v>
      </c>
      <c r="M904">
        <f t="shared" si="88"/>
        <v>245.44154499999999</v>
      </c>
      <c r="N904">
        <v>37282</v>
      </c>
      <c r="O904">
        <f t="shared" ca="1" si="89"/>
        <v>0.95949367088607596</v>
      </c>
    </row>
    <row r="905" spans="1:15" x14ac:dyDescent="0.2">
      <c r="A905" t="str">
        <f ca="1">IFERROR(__xludf.DUMMYFUNCTION("""COMPUTED_VALUE"""),"km")</f>
        <v>km</v>
      </c>
      <c r="B905" t="str">
        <f ca="1">IFERROR(__xludf.DUMMYFUNCTION("""COMPUTED_VALUE"""),"Model S 85")</f>
        <v>Model S 85</v>
      </c>
      <c r="D905">
        <f ca="1">IFERROR(__xludf.DUMMYFUNCTION("""COMPUTED_VALUE"""),57000)</f>
        <v>57000</v>
      </c>
      <c r="E905">
        <f ca="1">IFERROR(__xludf.DUMMYFUNCTION("""COMPUTED_VALUE"""),379)</f>
        <v>379</v>
      </c>
      <c r="F905">
        <v>395</v>
      </c>
      <c r="G905">
        <v>0.95949367088607596</v>
      </c>
      <c r="H905">
        <v>35418</v>
      </c>
      <c r="I905">
        <v>57000</v>
      </c>
      <c r="J905">
        <v>35418</v>
      </c>
      <c r="K905">
        <v>0.96390866225609995</v>
      </c>
      <c r="L905">
        <f t="shared" ca="1" si="87"/>
        <v>235.49960899999999</v>
      </c>
      <c r="M905">
        <f t="shared" si="88"/>
        <v>245.44154499999999</v>
      </c>
      <c r="N905">
        <v>35418</v>
      </c>
      <c r="O905">
        <f t="shared" ca="1" si="89"/>
        <v>0.95949367088607596</v>
      </c>
    </row>
    <row r="906" spans="1:15" x14ac:dyDescent="0.2">
      <c r="A906" t="str">
        <f ca="1">IFERROR(__xludf.DUMMYFUNCTION("""COMPUTED_VALUE"""),"km")</f>
        <v>km</v>
      </c>
      <c r="B906" t="str">
        <f ca="1">IFERROR(__xludf.DUMMYFUNCTION("""COMPUTED_VALUE"""),"Model S 85")</f>
        <v>Model S 85</v>
      </c>
      <c r="C906">
        <f ca="1">IFERROR(__xludf.DUMMYFUNCTION("""COMPUTED_VALUE"""),404)</f>
        <v>404</v>
      </c>
      <c r="D906">
        <f ca="1">IFERROR(__xludf.DUMMYFUNCTION("""COMPUTED_VALUE"""),43800)</f>
        <v>43800</v>
      </c>
      <c r="E906">
        <f ca="1">IFERROR(__xludf.DUMMYFUNCTION("""COMPUTED_VALUE"""),379)</f>
        <v>379</v>
      </c>
      <c r="F906">
        <v>395</v>
      </c>
      <c r="G906">
        <v>0.95949367088607596</v>
      </c>
      <c r="H906">
        <v>27216</v>
      </c>
      <c r="I906">
        <v>43800</v>
      </c>
      <c r="J906">
        <v>27216</v>
      </c>
      <c r="K906">
        <v>0.97172917332740849</v>
      </c>
      <c r="L906">
        <f t="shared" ca="1" si="87"/>
        <v>235.49960899999999</v>
      </c>
      <c r="M906">
        <f t="shared" si="88"/>
        <v>245.44154499999999</v>
      </c>
      <c r="N906">
        <v>27216</v>
      </c>
      <c r="O906">
        <f t="shared" ca="1" si="89"/>
        <v>0.95949367088607596</v>
      </c>
    </row>
    <row r="907" spans="1:15" x14ac:dyDescent="0.2">
      <c r="A907" t="str">
        <f ca="1">IFERROR(__xludf.DUMMYFUNCTION("""COMPUTED_VALUE"""),"km")</f>
        <v>km</v>
      </c>
      <c r="B907" t="str">
        <f ca="1">IFERROR(__xludf.DUMMYFUNCTION("""COMPUTED_VALUE"""),"Model S P85")</f>
        <v>Model S P85</v>
      </c>
      <c r="D907">
        <f ca="1">IFERROR(__xludf.DUMMYFUNCTION("""COMPUTED_VALUE"""),50950)</f>
        <v>50950</v>
      </c>
      <c r="E907">
        <f ca="1">IFERROR(__xludf.DUMMYFUNCTION("""COMPUTED_VALUE"""),379)</f>
        <v>379</v>
      </c>
      <c r="F907">
        <v>395</v>
      </c>
      <c r="G907">
        <v>0.95949367088607596</v>
      </c>
      <c r="H907">
        <v>31659</v>
      </c>
      <c r="I907">
        <v>50950</v>
      </c>
      <c r="J907">
        <v>31659</v>
      </c>
      <c r="K907">
        <v>0.9674520698916822</v>
      </c>
      <c r="L907">
        <f t="shared" ca="1" si="87"/>
        <v>235.49960899999999</v>
      </c>
      <c r="M907">
        <f t="shared" si="88"/>
        <v>245.44154499999999</v>
      </c>
      <c r="N907">
        <v>31659</v>
      </c>
      <c r="O907">
        <f t="shared" ca="1" si="89"/>
        <v>0.95949367088607596</v>
      </c>
    </row>
    <row r="908" spans="1:15" x14ac:dyDescent="0.2">
      <c r="A908" t="str">
        <f ca="1">IFERROR(__xludf.DUMMYFUNCTION("""COMPUTED_VALUE"""),"km")</f>
        <v>km</v>
      </c>
      <c r="B908" t="str">
        <f ca="1">IFERROR(__xludf.DUMMYFUNCTION("""COMPUTED_VALUE"""),"Model S 85")</f>
        <v>Model S 85</v>
      </c>
      <c r="C908">
        <f ca="1">IFERROR(__xludf.DUMMYFUNCTION("""COMPUTED_VALUE"""),398)</f>
        <v>398</v>
      </c>
      <c r="D908">
        <f ca="1">IFERROR(__xludf.DUMMYFUNCTION("""COMPUTED_VALUE"""),63103)</f>
        <v>63103</v>
      </c>
      <c r="E908">
        <f ca="1">IFERROR(__xludf.DUMMYFUNCTION("""COMPUTED_VALUE"""),379)</f>
        <v>379</v>
      </c>
      <c r="F908">
        <v>395</v>
      </c>
      <c r="G908">
        <v>0.95949367088607596</v>
      </c>
      <c r="H908">
        <v>39210</v>
      </c>
      <c r="I908">
        <v>63103</v>
      </c>
      <c r="J908">
        <v>39210</v>
      </c>
      <c r="K908">
        <v>0.96040501597461458</v>
      </c>
      <c r="L908">
        <f t="shared" ca="1" si="87"/>
        <v>235.49960899999999</v>
      </c>
      <c r="M908">
        <f t="shared" si="88"/>
        <v>245.44154499999999</v>
      </c>
      <c r="N908">
        <v>39210</v>
      </c>
      <c r="O908">
        <f t="shared" ca="1" si="89"/>
        <v>0.95949367088607596</v>
      </c>
    </row>
    <row r="909" spans="1:15" x14ac:dyDescent="0.2">
      <c r="A909" t="str">
        <f ca="1">IFERROR(__xludf.DUMMYFUNCTION("""COMPUTED_VALUE"""),"km")</f>
        <v>km</v>
      </c>
      <c r="B909" t="str">
        <f ca="1">IFERROR(__xludf.DUMMYFUNCTION("""COMPUTED_VALUE"""),"Model S P85")</f>
        <v>Model S P85</v>
      </c>
      <c r="D909">
        <f ca="1">IFERROR(__xludf.DUMMYFUNCTION("""COMPUTED_VALUE"""),63067)</f>
        <v>63067</v>
      </c>
      <c r="E909">
        <f ca="1">IFERROR(__xludf.DUMMYFUNCTION("""COMPUTED_VALUE"""),379)</f>
        <v>379</v>
      </c>
      <c r="F909">
        <v>395</v>
      </c>
      <c r="G909">
        <v>0.95949367088607596</v>
      </c>
      <c r="H909">
        <v>39188</v>
      </c>
      <c r="I909">
        <v>63067</v>
      </c>
      <c r="J909">
        <v>39188</v>
      </c>
      <c r="K909">
        <v>0.96042547361243624</v>
      </c>
      <c r="L909">
        <f t="shared" ca="1" si="87"/>
        <v>235.49960899999999</v>
      </c>
      <c r="M909">
        <f t="shared" si="88"/>
        <v>245.44154499999999</v>
      </c>
      <c r="N909">
        <v>39188</v>
      </c>
      <c r="O909">
        <f t="shared" ca="1" si="89"/>
        <v>0.95949367088607596</v>
      </c>
    </row>
    <row r="910" spans="1:15" x14ac:dyDescent="0.2">
      <c r="A910" t="str">
        <f ca="1">IFERROR(__xludf.DUMMYFUNCTION("""COMPUTED_VALUE"""),"km")</f>
        <v>km</v>
      </c>
      <c r="B910" t="str">
        <f ca="1">IFERROR(__xludf.DUMMYFUNCTION("""COMPUTED_VALUE"""),"Model S 85")</f>
        <v>Model S 85</v>
      </c>
      <c r="D910">
        <f ca="1">IFERROR(__xludf.DUMMYFUNCTION("""COMPUTED_VALUE"""),42379)</f>
        <v>42379</v>
      </c>
      <c r="E910">
        <f ca="1">IFERROR(__xludf.DUMMYFUNCTION("""COMPUTED_VALUE"""),379)</f>
        <v>379</v>
      </c>
      <c r="F910">
        <v>395</v>
      </c>
      <c r="G910">
        <v>0.95949367088607596</v>
      </c>
      <c r="H910">
        <v>26333</v>
      </c>
      <c r="I910">
        <v>42379</v>
      </c>
      <c r="J910">
        <v>26333</v>
      </c>
      <c r="K910">
        <v>0.97259068841765206</v>
      </c>
      <c r="L910">
        <f t="shared" ca="1" si="87"/>
        <v>235.49960899999999</v>
      </c>
      <c r="M910">
        <f t="shared" si="88"/>
        <v>245.44154499999999</v>
      </c>
      <c r="N910">
        <v>26333</v>
      </c>
      <c r="O910">
        <f t="shared" ca="1" si="89"/>
        <v>0.95949367088607596</v>
      </c>
    </row>
    <row r="911" spans="1:15" x14ac:dyDescent="0.2">
      <c r="A911" t="str">
        <f ca="1">IFERROR(__xludf.DUMMYFUNCTION("""COMPUTED_VALUE"""),"km")</f>
        <v>km</v>
      </c>
      <c r="B911" t="str">
        <f ca="1">IFERROR(__xludf.DUMMYFUNCTION("""COMPUTED_VALUE"""),"Model S P85")</f>
        <v>Model S P85</v>
      </c>
      <c r="D911">
        <f ca="1">IFERROR(__xludf.DUMMYFUNCTION("""COMPUTED_VALUE"""),90000)</f>
        <v>90000</v>
      </c>
      <c r="E911">
        <f ca="1">IFERROR(__xludf.DUMMYFUNCTION("""COMPUTED_VALUE"""),379)</f>
        <v>379</v>
      </c>
      <c r="F911">
        <v>395</v>
      </c>
      <c r="G911">
        <v>0.95949367088607596</v>
      </c>
      <c r="H911">
        <v>55923</v>
      </c>
      <c r="I911">
        <v>90000</v>
      </c>
      <c r="J911">
        <v>55923</v>
      </c>
      <c r="K911">
        <v>0.94582377496638503</v>
      </c>
      <c r="L911">
        <f t="shared" ca="1" si="87"/>
        <v>235.49960899999999</v>
      </c>
      <c r="M911">
        <f t="shared" si="88"/>
        <v>245.44154499999999</v>
      </c>
      <c r="N911">
        <v>55923</v>
      </c>
      <c r="O911">
        <f t="shared" ca="1" si="89"/>
        <v>0.95949367088607596</v>
      </c>
    </row>
    <row r="912" spans="1:15" x14ac:dyDescent="0.2">
      <c r="A912" t="str">
        <f ca="1">IFERROR(__xludf.DUMMYFUNCTION("""COMPUTED_VALUE"""),"km")</f>
        <v>km</v>
      </c>
      <c r="B912" t="str">
        <f ca="1">IFERROR(__xludf.DUMMYFUNCTION("""COMPUTED_VALUE"""),"Model S P85+")</f>
        <v>Model S P85+</v>
      </c>
      <c r="D912">
        <f ca="1">IFERROR(__xludf.DUMMYFUNCTION("""COMPUTED_VALUE"""),36000)</f>
        <v>36000</v>
      </c>
      <c r="E912">
        <f ca="1">IFERROR(__xludf.DUMMYFUNCTION("""COMPUTED_VALUE"""),379)</f>
        <v>379</v>
      </c>
      <c r="F912">
        <v>395</v>
      </c>
      <c r="G912">
        <v>0.95949367088607596</v>
      </c>
      <c r="H912">
        <v>22369</v>
      </c>
      <c r="I912">
        <v>36000</v>
      </c>
      <c r="J912">
        <v>22369</v>
      </c>
      <c r="K912">
        <v>0.97650473602539301</v>
      </c>
      <c r="L912">
        <f t="shared" ca="1" si="87"/>
        <v>235.49960899999999</v>
      </c>
      <c r="M912">
        <f t="shared" si="88"/>
        <v>245.44154499999999</v>
      </c>
      <c r="N912">
        <v>22369</v>
      </c>
      <c r="O912">
        <f t="shared" ca="1" si="89"/>
        <v>0.95949367088607596</v>
      </c>
    </row>
    <row r="913" spans="1:15" x14ac:dyDescent="0.2">
      <c r="A913" t="str">
        <f ca="1">IFERROR(__xludf.DUMMYFUNCTION("""COMPUTED_VALUE"""),"km")</f>
        <v>km</v>
      </c>
      <c r="B913" t="str">
        <f ca="1">IFERROR(__xludf.DUMMYFUNCTION("""COMPUTED_VALUE"""),"Model S P85")</f>
        <v>Model S P85</v>
      </c>
      <c r="D913">
        <f ca="1">IFERROR(__xludf.DUMMYFUNCTION("""COMPUTED_VALUE"""),21000)</f>
        <v>21000</v>
      </c>
      <c r="E913">
        <f ca="1">IFERROR(__xludf.DUMMYFUNCTION("""COMPUTED_VALUE"""),379)</f>
        <v>379</v>
      </c>
      <c r="F913">
        <v>395</v>
      </c>
      <c r="G913">
        <v>0.95949367088607596</v>
      </c>
      <c r="H913">
        <v>13049</v>
      </c>
      <c r="I913">
        <v>21000</v>
      </c>
      <c r="J913">
        <v>13049</v>
      </c>
      <c r="K913">
        <v>0.98600642291021556</v>
      </c>
      <c r="L913">
        <f t="shared" ca="1" si="87"/>
        <v>235.49960899999999</v>
      </c>
      <c r="M913">
        <f t="shared" si="88"/>
        <v>245.44154499999999</v>
      </c>
      <c r="N913">
        <v>13049</v>
      </c>
      <c r="O913">
        <f t="shared" ca="1" si="89"/>
        <v>0.95949367088607596</v>
      </c>
    </row>
    <row r="914" spans="1:15" x14ac:dyDescent="0.2">
      <c r="A914" t="str">
        <f ca="1">IFERROR(__xludf.DUMMYFUNCTION("""COMPUTED_VALUE"""),"km")</f>
        <v>km</v>
      </c>
      <c r="B914" t="str">
        <f ca="1">IFERROR(__xludf.DUMMYFUNCTION("""COMPUTED_VALUE"""),"Model S P85")</f>
        <v>Model S P85</v>
      </c>
      <c r="D914">
        <f ca="1">IFERROR(__xludf.DUMMYFUNCTION("""COMPUTED_VALUE"""),73000)</f>
        <v>73000</v>
      </c>
      <c r="E914">
        <f ca="1">IFERROR(__xludf.DUMMYFUNCTION("""COMPUTED_VALUE"""),379)</f>
        <v>379</v>
      </c>
      <c r="F914">
        <v>395</v>
      </c>
      <c r="G914">
        <v>0.95949367088607596</v>
      </c>
      <c r="H914">
        <v>45360</v>
      </c>
      <c r="I914">
        <v>73000</v>
      </c>
      <c r="J914">
        <v>45360</v>
      </c>
      <c r="K914">
        <v>0.95487571843246866</v>
      </c>
      <c r="L914">
        <f t="shared" ca="1" si="87"/>
        <v>235.49960899999999</v>
      </c>
      <c r="M914">
        <f t="shared" si="88"/>
        <v>245.44154499999999</v>
      </c>
      <c r="N914">
        <v>45360</v>
      </c>
      <c r="O914">
        <f t="shared" ca="1" si="89"/>
        <v>0.95949367088607596</v>
      </c>
    </row>
    <row r="915" spans="1:15" x14ac:dyDescent="0.2">
      <c r="A915" t="str">
        <f ca="1">IFERROR(__xludf.DUMMYFUNCTION("""COMPUTED_VALUE"""),"km")</f>
        <v>km</v>
      </c>
      <c r="B915" t="str">
        <f ca="1">IFERROR(__xludf.DUMMYFUNCTION("""COMPUTED_VALUE"""),"Model S 90D")</f>
        <v>Model S 90D</v>
      </c>
      <c r="C915">
        <f ca="1">IFERROR(__xludf.DUMMYFUNCTION("""COMPUTED_VALUE"""),448)</f>
        <v>448</v>
      </c>
      <c r="D915">
        <f ca="1">IFERROR(__xludf.DUMMYFUNCTION("""COMPUTED_VALUE"""),42743)</f>
        <v>42743</v>
      </c>
      <c r="E915">
        <f ca="1">IFERROR(__xludf.DUMMYFUNCTION("""COMPUTED_VALUE"""),429)</f>
        <v>429</v>
      </c>
      <c r="F915">
        <v>447</v>
      </c>
      <c r="G915">
        <v>0.95973154362416102</v>
      </c>
      <c r="H915">
        <v>26559</v>
      </c>
      <c r="I915">
        <v>42743</v>
      </c>
      <c r="J915">
        <v>26559</v>
      </c>
      <c r="K915">
        <v>0.97236964327809239</v>
      </c>
      <c r="L915">
        <f t="shared" ca="1" si="87"/>
        <v>266.56815899999998</v>
      </c>
      <c r="M915">
        <f t="shared" si="88"/>
        <v>277.752837</v>
      </c>
      <c r="N915">
        <v>26559</v>
      </c>
      <c r="O915">
        <f t="shared" ca="1" si="89"/>
        <v>0.95973154362416102</v>
      </c>
    </row>
    <row r="916" spans="1:15" x14ac:dyDescent="0.2">
      <c r="A916" t="str">
        <f ca="1">IFERROR(__xludf.DUMMYFUNCTION("""COMPUTED_VALUE"""),"km")</f>
        <v>km</v>
      </c>
      <c r="B916" t="str">
        <f ca="1">IFERROR(__xludf.DUMMYFUNCTION("""COMPUTED_VALUE"""),"Model S 90D")</f>
        <v>Model S 90D</v>
      </c>
      <c r="C916">
        <f ca="1">IFERROR(__xludf.DUMMYFUNCTION("""COMPUTED_VALUE"""),448)</f>
        <v>448</v>
      </c>
      <c r="D916">
        <f ca="1">IFERROR(__xludf.DUMMYFUNCTION("""COMPUTED_VALUE"""),35581)</f>
        <v>35581</v>
      </c>
      <c r="E916">
        <f ca="1">IFERROR(__xludf.DUMMYFUNCTION("""COMPUTED_VALUE"""),429)</f>
        <v>429</v>
      </c>
      <c r="F916">
        <v>447</v>
      </c>
      <c r="G916">
        <v>0.95973154362416102</v>
      </c>
      <c r="H916">
        <v>22109</v>
      </c>
      <c r="I916">
        <v>35581</v>
      </c>
      <c r="J916">
        <v>22109</v>
      </c>
      <c r="K916">
        <v>0.97676448834404905</v>
      </c>
      <c r="L916">
        <f t="shared" ca="1" si="87"/>
        <v>266.56815899999998</v>
      </c>
      <c r="M916">
        <f t="shared" si="88"/>
        <v>277.752837</v>
      </c>
      <c r="N916">
        <v>22109</v>
      </c>
      <c r="O916">
        <f t="shared" ca="1" si="89"/>
        <v>0.95973154362416102</v>
      </c>
    </row>
    <row r="917" spans="1:15" x14ac:dyDescent="0.2">
      <c r="A917" t="str">
        <f ca="1">IFERROR(__xludf.DUMMYFUNCTION("""COMPUTED_VALUE"""),"km")</f>
        <v>km</v>
      </c>
      <c r="B917" t="str">
        <f ca="1">IFERROR(__xludf.DUMMYFUNCTION("""COMPUTED_VALUE"""),"Model S 90D")</f>
        <v>Model S 90D</v>
      </c>
      <c r="C917">
        <f ca="1">IFERROR(__xludf.DUMMYFUNCTION("""COMPUTED_VALUE"""),426)</f>
        <v>426</v>
      </c>
      <c r="D917">
        <f ca="1">IFERROR(__xludf.DUMMYFUNCTION("""COMPUTED_VALUE"""),35011)</f>
        <v>35011</v>
      </c>
      <c r="E917">
        <f ca="1">IFERROR(__xludf.DUMMYFUNCTION("""COMPUTED_VALUE"""),429)</f>
        <v>429</v>
      </c>
      <c r="F917">
        <v>447</v>
      </c>
      <c r="G917">
        <v>0.95973154362416102</v>
      </c>
      <c r="H917">
        <v>21755</v>
      </c>
      <c r="I917">
        <v>35011</v>
      </c>
      <c r="J917">
        <v>21755</v>
      </c>
      <c r="K917">
        <v>0.97711837585490402</v>
      </c>
      <c r="L917">
        <f t="shared" ca="1" si="87"/>
        <v>266.56815899999998</v>
      </c>
      <c r="M917">
        <f t="shared" si="88"/>
        <v>277.752837</v>
      </c>
      <c r="N917">
        <v>21755</v>
      </c>
      <c r="O917">
        <f t="shared" ca="1" si="89"/>
        <v>0.95973154362416102</v>
      </c>
    </row>
    <row r="918" spans="1:15" x14ac:dyDescent="0.2">
      <c r="A918" t="str">
        <f ca="1">IFERROR(__xludf.DUMMYFUNCTION("""COMPUTED_VALUE"""),"km")</f>
        <v>km</v>
      </c>
      <c r="B918" t="str">
        <f ca="1">IFERROR(__xludf.DUMMYFUNCTION("""COMPUTED_VALUE"""),"Model 3 LR AWD")</f>
        <v>Model 3 LR AWD</v>
      </c>
      <c r="C918">
        <f ca="1">IFERROR(__xludf.DUMMYFUNCTION("""COMPUTED_VALUE"""),499)</f>
        <v>499</v>
      </c>
      <c r="D918">
        <f ca="1">IFERROR(__xludf.DUMMYFUNCTION("""COMPUTED_VALUE"""),14841)</f>
        <v>14841</v>
      </c>
      <c r="E918">
        <f ca="1">IFERROR(__xludf.DUMMYFUNCTION("""COMPUTED_VALUE"""),479)</f>
        <v>479</v>
      </c>
      <c r="F918">
        <v>499</v>
      </c>
      <c r="G918">
        <v>0.95991983967935868</v>
      </c>
      <c r="H918">
        <v>9222</v>
      </c>
      <c r="I918">
        <v>14841</v>
      </c>
      <c r="J918">
        <v>9222</v>
      </c>
      <c r="K918">
        <v>0.99002763476128797</v>
      </c>
      <c r="L918">
        <f t="shared" ca="1" si="87"/>
        <v>297.636709</v>
      </c>
      <c r="M918">
        <f t="shared" si="88"/>
        <v>310.06412899999998</v>
      </c>
      <c r="N918">
        <v>9222</v>
      </c>
      <c r="O918">
        <f t="shared" ca="1" si="89"/>
        <v>0.95991983967935879</v>
      </c>
    </row>
    <row r="919" spans="1:15" x14ac:dyDescent="0.2">
      <c r="A919" t="str">
        <f ca="1">IFERROR(__xludf.DUMMYFUNCTION("""COMPUTED_VALUE"""),"km")</f>
        <v>km</v>
      </c>
      <c r="B919" t="str">
        <f ca="1">IFERROR(__xludf.DUMMYFUNCTION("""COMPUTED_VALUE"""),"Model 3 P")</f>
        <v>Model 3 P</v>
      </c>
      <c r="C919">
        <f ca="1">IFERROR(__xludf.DUMMYFUNCTION("""COMPUTED_VALUE"""),499)</f>
        <v>499</v>
      </c>
      <c r="D919">
        <f ca="1">IFERROR(__xludf.DUMMYFUNCTION("""COMPUTED_VALUE"""),47770)</f>
        <v>47770</v>
      </c>
      <c r="E919">
        <f ca="1">IFERROR(__xludf.DUMMYFUNCTION("""COMPUTED_VALUE"""),479)</f>
        <v>479</v>
      </c>
      <c r="F919">
        <v>499</v>
      </c>
      <c r="G919">
        <v>0.95991983967935868</v>
      </c>
      <c r="H919">
        <v>29683</v>
      </c>
      <c r="I919">
        <v>47770</v>
      </c>
      <c r="J919">
        <v>29683</v>
      </c>
      <c r="K919">
        <v>0.96934241204321936</v>
      </c>
      <c r="L919">
        <f t="shared" ca="1" si="87"/>
        <v>297.636709</v>
      </c>
      <c r="M919">
        <f t="shared" si="88"/>
        <v>310.06412899999998</v>
      </c>
      <c r="N919">
        <v>29683</v>
      </c>
      <c r="O919">
        <f t="shared" ca="1" si="89"/>
        <v>0.95991983967935879</v>
      </c>
    </row>
    <row r="920" spans="1:15" x14ac:dyDescent="0.2">
      <c r="A920" t="str">
        <f ca="1">IFERROR(__xludf.DUMMYFUNCTION("""COMPUTED_VALUE"""),"km")</f>
        <v>km</v>
      </c>
      <c r="B920" t="str">
        <f ca="1">IFERROR(__xludf.DUMMYFUNCTION("""COMPUTED_VALUE"""),"Model 3 P")</f>
        <v>Model 3 P</v>
      </c>
      <c r="C920">
        <f ca="1">IFERROR(__xludf.DUMMYFUNCTION("""COMPUTED_VALUE"""),499)</f>
        <v>499</v>
      </c>
      <c r="D920">
        <f ca="1">IFERROR(__xludf.DUMMYFUNCTION("""COMPUTED_VALUE"""),1241)</f>
        <v>1241</v>
      </c>
      <c r="E920">
        <f ca="1">IFERROR(__xludf.DUMMYFUNCTION("""COMPUTED_VALUE"""),479)</f>
        <v>479</v>
      </c>
      <c r="F920">
        <v>499</v>
      </c>
      <c r="G920">
        <v>0.95991983967935868</v>
      </c>
      <c r="H920">
        <v>771</v>
      </c>
      <c r="I920">
        <v>1241</v>
      </c>
      <c r="J920">
        <v>771</v>
      </c>
      <c r="K920">
        <v>0.99915092003345507</v>
      </c>
      <c r="L920">
        <f t="shared" ca="1" si="87"/>
        <v>297.636709</v>
      </c>
      <c r="M920">
        <f t="shared" si="88"/>
        <v>310.06412899999998</v>
      </c>
      <c r="N920">
        <v>771</v>
      </c>
      <c r="O920">
        <f t="shared" ca="1" si="89"/>
        <v>0.95991983967935879</v>
      </c>
    </row>
    <row r="921" spans="1:15" x14ac:dyDescent="0.2">
      <c r="A921" t="str">
        <f ca="1">IFERROR(__xludf.DUMMYFUNCTION("""COMPUTED_VALUE"""),"km")</f>
        <v>km</v>
      </c>
      <c r="B921" t="str">
        <f ca="1">IFERROR(__xludf.DUMMYFUNCTION("""COMPUTED_VALUE"""),"Model X 90D")</f>
        <v>Model X 90D</v>
      </c>
      <c r="C921">
        <f ca="1">IFERROR(__xludf.DUMMYFUNCTION("""COMPUTED_VALUE"""),397)</f>
        <v>397</v>
      </c>
      <c r="D921">
        <f ca="1">IFERROR(__xludf.DUMMYFUNCTION("""COMPUTED_VALUE"""),35116)</f>
        <v>35116</v>
      </c>
      <c r="E921">
        <f ca="1">IFERROR(__xludf.DUMMYFUNCTION("""COMPUTED_VALUE"""),384)</f>
        <v>384</v>
      </c>
      <c r="F921">
        <v>400</v>
      </c>
      <c r="G921">
        <v>0.96</v>
      </c>
      <c r="H921">
        <v>21820</v>
      </c>
      <c r="I921">
        <v>35116</v>
      </c>
      <c r="J921">
        <v>21820</v>
      </c>
      <c r="K921">
        <v>0.97705314058036163</v>
      </c>
      <c r="L921">
        <f t="shared" ca="1" si="87"/>
        <v>238.60646400000002</v>
      </c>
      <c r="M921">
        <f t="shared" si="88"/>
        <v>248.54840000000002</v>
      </c>
      <c r="N921">
        <v>21820</v>
      </c>
      <c r="O921">
        <f t="shared" ca="1" si="89"/>
        <v>0.96</v>
      </c>
    </row>
    <row r="922" spans="1:15" x14ac:dyDescent="0.2">
      <c r="A922" t="str">
        <f ca="1">IFERROR(__xludf.DUMMYFUNCTION("""COMPUTED_VALUE"""),"km")</f>
        <v>km</v>
      </c>
      <c r="B922" t="str">
        <f ca="1">IFERROR(__xludf.DUMMYFUNCTION("""COMPUTED_VALUE"""),"Model X 90D")</f>
        <v>Model X 90D</v>
      </c>
      <c r="C922">
        <f ca="1">IFERROR(__xludf.DUMMYFUNCTION("""COMPUTED_VALUE"""),397)</f>
        <v>397</v>
      </c>
      <c r="D922">
        <f ca="1">IFERROR(__xludf.DUMMYFUNCTION("""COMPUTED_VALUE"""),28937)</f>
        <v>28937</v>
      </c>
      <c r="E922">
        <f ca="1">IFERROR(__xludf.DUMMYFUNCTION("""COMPUTED_VALUE"""),384)</f>
        <v>384</v>
      </c>
      <c r="F922">
        <v>400</v>
      </c>
      <c r="G922">
        <v>0.96</v>
      </c>
      <c r="H922">
        <v>17981</v>
      </c>
      <c r="I922">
        <v>28937</v>
      </c>
      <c r="J922">
        <v>17981</v>
      </c>
      <c r="K922">
        <v>0.98092694566457106</v>
      </c>
      <c r="L922">
        <f t="shared" ca="1" si="87"/>
        <v>238.60646400000002</v>
      </c>
      <c r="M922">
        <f t="shared" si="88"/>
        <v>248.54840000000002</v>
      </c>
      <c r="N922">
        <v>17981</v>
      </c>
      <c r="O922">
        <f t="shared" ca="1" si="89"/>
        <v>0.96</v>
      </c>
    </row>
    <row r="923" spans="1:15" x14ac:dyDescent="0.2">
      <c r="A923" t="str">
        <f ca="1">IFERROR(__xludf.DUMMYFUNCTION("""COMPUTED_VALUE"""),"mi")</f>
        <v>mi</v>
      </c>
      <c r="B923" t="str">
        <f ca="1">IFERROR(__xludf.DUMMYFUNCTION("""COMPUTED_VALUE"""),"Model 3 LR")</f>
        <v>Model 3 LR</v>
      </c>
      <c r="C923">
        <f ca="1">IFERROR(__xludf.DUMMYFUNCTION("""COMPUTED_VALUE"""),310)</f>
        <v>310</v>
      </c>
      <c r="D923">
        <f ca="1">IFERROR(__xludf.DUMMYFUNCTION("""COMPUTED_VALUE"""),21550)</f>
        <v>21550</v>
      </c>
      <c r="E923">
        <f ca="1">IFERROR(__xludf.DUMMYFUNCTION("""COMPUTED_VALUE"""),312)</f>
        <v>312</v>
      </c>
      <c r="F923">
        <v>325</v>
      </c>
      <c r="G923">
        <v>0.96</v>
      </c>
      <c r="H923">
        <v>21550</v>
      </c>
      <c r="I923">
        <v>34681</v>
      </c>
      <c r="J923">
        <v>21550</v>
      </c>
      <c r="K923">
        <v>0.97732353464366939</v>
      </c>
      <c r="L923">
        <f ca="1">IFERROR(__xludf.DUMMYFUNCTION("""COMPUTED_VALUE"""),312)</f>
        <v>312</v>
      </c>
      <c r="M923">
        <v>325</v>
      </c>
      <c r="N923">
        <v>21550</v>
      </c>
      <c r="O923">
        <f t="shared" ca="1" si="89"/>
        <v>0.96</v>
      </c>
    </row>
    <row r="924" spans="1:15" x14ac:dyDescent="0.2">
      <c r="A924" t="str">
        <f ca="1">IFERROR(__xludf.DUMMYFUNCTION("""COMPUTED_VALUE"""),"mi")</f>
        <v>mi</v>
      </c>
      <c r="B924" t="str">
        <f ca="1">IFERROR(__xludf.DUMMYFUNCTION("""COMPUTED_VALUE"""),"Model 3 LR")</f>
        <v>Model 3 LR</v>
      </c>
      <c r="C924">
        <f ca="1">IFERROR(__xludf.DUMMYFUNCTION("""COMPUTED_VALUE"""),312)</f>
        <v>312</v>
      </c>
      <c r="D924">
        <f ca="1">IFERROR(__xludf.DUMMYFUNCTION("""COMPUTED_VALUE"""),1152)</f>
        <v>1152</v>
      </c>
      <c r="E924">
        <f ca="1">IFERROR(__xludf.DUMMYFUNCTION("""COMPUTED_VALUE"""),312)</f>
        <v>312</v>
      </c>
      <c r="F924">
        <v>325</v>
      </c>
      <c r="G924">
        <v>0.96</v>
      </c>
      <c r="H924">
        <v>1152</v>
      </c>
      <c r="I924">
        <v>1854</v>
      </c>
      <c r="J924">
        <v>1152</v>
      </c>
      <c r="K924">
        <v>0.9987325295682532</v>
      </c>
      <c r="L924">
        <f ca="1">IFERROR(__xludf.DUMMYFUNCTION("""COMPUTED_VALUE"""),312)</f>
        <v>312</v>
      </c>
      <c r="M924">
        <v>325</v>
      </c>
      <c r="N924">
        <v>1152</v>
      </c>
      <c r="O924">
        <f t="shared" ca="1" si="89"/>
        <v>0.96</v>
      </c>
    </row>
    <row r="925" spans="1:15" x14ac:dyDescent="0.2">
      <c r="A925" t="str">
        <f ca="1">IFERROR(__xludf.DUMMYFUNCTION("""COMPUTED_VALUE"""),"mi")</f>
        <v>mi</v>
      </c>
      <c r="B925" t="str">
        <f ca="1">IFERROR(__xludf.DUMMYFUNCTION("""COMPUTED_VALUE"""),"Model 3 LR")</f>
        <v>Model 3 LR</v>
      </c>
      <c r="C925">
        <f ca="1">IFERROR(__xludf.DUMMYFUNCTION("""COMPUTED_VALUE"""),312)</f>
        <v>312</v>
      </c>
      <c r="D925">
        <f ca="1">IFERROR(__xludf.DUMMYFUNCTION("""COMPUTED_VALUE"""),662)</f>
        <v>662</v>
      </c>
      <c r="E925">
        <f ca="1">IFERROR(__xludf.DUMMYFUNCTION("""COMPUTED_VALUE"""),312)</f>
        <v>312</v>
      </c>
      <c r="F925">
        <v>325</v>
      </c>
      <c r="G925">
        <v>0.96</v>
      </c>
      <c r="H925">
        <v>662</v>
      </c>
      <c r="I925">
        <v>1065</v>
      </c>
      <c r="J925">
        <v>662</v>
      </c>
      <c r="K925">
        <v>0.99927116963764973</v>
      </c>
      <c r="L925">
        <f ca="1">IFERROR(__xludf.DUMMYFUNCTION("""COMPUTED_VALUE"""),312)</f>
        <v>312</v>
      </c>
      <c r="M925">
        <v>325</v>
      </c>
      <c r="N925">
        <v>662</v>
      </c>
      <c r="O925">
        <f t="shared" ca="1" si="89"/>
        <v>0.96</v>
      </c>
    </row>
    <row r="926" spans="1:15" x14ac:dyDescent="0.2">
      <c r="A926" t="str">
        <f ca="1">IFERROR(__xludf.DUMMYFUNCTION("""COMPUTED_VALUE"""),"mi")</f>
        <v>mi</v>
      </c>
      <c r="B926" t="str">
        <f ca="1">IFERROR(__xludf.DUMMYFUNCTION("""COMPUTED_VALUE"""),"Model 3 LR")</f>
        <v>Model 3 LR</v>
      </c>
      <c r="C926">
        <f ca="1">IFERROR(__xludf.DUMMYFUNCTION("""COMPUTED_VALUE"""),312)</f>
        <v>312</v>
      </c>
      <c r="D926">
        <f ca="1">IFERROR(__xludf.DUMMYFUNCTION("""COMPUTED_VALUE"""),120)</f>
        <v>120</v>
      </c>
      <c r="E926">
        <f ca="1">IFERROR(__xludf.DUMMYFUNCTION("""COMPUTED_VALUE"""),312)</f>
        <v>312</v>
      </c>
      <c r="F926">
        <v>325</v>
      </c>
      <c r="G926">
        <v>0.96</v>
      </c>
      <c r="H926">
        <v>120</v>
      </c>
      <c r="I926">
        <v>193</v>
      </c>
      <c r="J926">
        <v>120</v>
      </c>
      <c r="K926">
        <v>0.99986777022591622</v>
      </c>
      <c r="L926">
        <f ca="1">IFERROR(__xludf.DUMMYFUNCTION("""COMPUTED_VALUE"""),312)</f>
        <v>312</v>
      </c>
      <c r="M926">
        <v>325</v>
      </c>
      <c r="N926">
        <v>120</v>
      </c>
      <c r="O926">
        <f t="shared" ca="1" si="89"/>
        <v>0.96</v>
      </c>
    </row>
    <row r="927" spans="1:15" x14ac:dyDescent="0.2">
      <c r="A927" t="str">
        <f ca="1">IFERROR(__xludf.DUMMYFUNCTION("""COMPUTED_VALUE"""),"km")</f>
        <v>km</v>
      </c>
      <c r="B927" t="str">
        <f ca="1">IFERROR(__xludf.DUMMYFUNCTION("""COMPUTED_VALUE"""),"Model S 85D")</f>
        <v>Model S 85D</v>
      </c>
      <c r="D927">
        <f ca="1">IFERROR(__xludf.DUMMYFUNCTION("""COMPUTED_VALUE"""),81631)</f>
        <v>81631</v>
      </c>
      <c r="E927">
        <f ca="1">IFERROR(__xludf.DUMMYFUNCTION("""COMPUTED_VALUE"""),408)</f>
        <v>408</v>
      </c>
      <c r="F927">
        <v>425</v>
      </c>
      <c r="G927">
        <v>0.96</v>
      </c>
      <c r="H927">
        <v>50723</v>
      </c>
      <c r="I927">
        <v>81631</v>
      </c>
      <c r="J927">
        <v>50723</v>
      </c>
      <c r="K927">
        <v>0.95020909242548979</v>
      </c>
      <c r="L927">
        <f t="shared" ref="L927:L936" ca="1" si="90">E927*0.621371</f>
        <v>253.51936800000001</v>
      </c>
      <c r="M927">
        <f t="shared" ref="M927:M936" si="91">F927*0.621371</f>
        <v>264.08267499999999</v>
      </c>
      <c r="N927">
        <v>50723</v>
      </c>
      <c r="O927">
        <f t="shared" ca="1" si="89"/>
        <v>0.96000000000000008</v>
      </c>
    </row>
    <row r="928" spans="1:15" x14ac:dyDescent="0.2">
      <c r="A928" t="str">
        <f ca="1">IFERROR(__xludf.DUMMYFUNCTION("""COMPUTED_VALUE"""),"km")</f>
        <v>km</v>
      </c>
      <c r="B928" t="str">
        <f ca="1">IFERROR(__xludf.DUMMYFUNCTION("""COMPUTED_VALUE"""),"Model S 85D")</f>
        <v>Model S 85D</v>
      </c>
      <c r="C928">
        <f ca="1">IFERROR(__xludf.DUMMYFUNCTION("""COMPUTED_VALUE"""),405)</f>
        <v>405</v>
      </c>
      <c r="D928">
        <f ca="1">IFERROR(__xludf.DUMMYFUNCTION("""COMPUTED_VALUE"""),114321)</f>
        <v>114321</v>
      </c>
      <c r="E928">
        <f ca="1">IFERROR(__xludf.DUMMYFUNCTION("""COMPUTED_VALUE"""),408)</f>
        <v>408</v>
      </c>
      <c r="F928">
        <v>425</v>
      </c>
      <c r="G928">
        <v>0.96</v>
      </c>
      <c r="H928">
        <v>71036</v>
      </c>
      <c r="I928">
        <v>114321</v>
      </c>
      <c r="J928">
        <v>71036</v>
      </c>
      <c r="K928">
        <v>0.93387239575087144</v>
      </c>
      <c r="L928">
        <f t="shared" ca="1" si="90"/>
        <v>253.51936800000001</v>
      </c>
      <c r="M928">
        <f t="shared" si="91"/>
        <v>264.08267499999999</v>
      </c>
      <c r="N928">
        <v>71036</v>
      </c>
      <c r="O928">
        <f t="shared" ca="1" si="89"/>
        <v>0.96000000000000008</v>
      </c>
    </row>
    <row r="929" spans="1:15" x14ac:dyDescent="0.2">
      <c r="A929" t="str">
        <f ca="1">IFERROR(__xludf.DUMMYFUNCTION("""COMPUTED_VALUE"""),"km")</f>
        <v>km</v>
      </c>
      <c r="B929" t="str">
        <f ca="1">IFERROR(__xludf.DUMMYFUNCTION("""COMPUTED_VALUE"""),"Model S 85D")</f>
        <v>Model S 85D</v>
      </c>
      <c r="D929">
        <f ca="1">IFERROR(__xludf.DUMMYFUNCTION("""COMPUTED_VALUE"""),73770)</f>
        <v>73770</v>
      </c>
      <c r="E929">
        <f ca="1">IFERROR(__xludf.DUMMYFUNCTION("""COMPUTED_VALUE"""),408)</f>
        <v>408</v>
      </c>
      <c r="F929">
        <v>425</v>
      </c>
      <c r="G929">
        <v>0.96</v>
      </c>
      <c r="H929">
        <v>45839</v>
      </c>
      <c r="I929">
        <v>73770</v>
      </c>
      <c r="J929">
        <v>45839</v>
      </c>
      <c r="K929">
        <v>0.95445348836486554</v>
      </c>
      <c r="L929">
        <f t="shared" ca="1" si="90"/>
        <v>253.51936800000001</v>
      </c>
      <c r="M929">
        <f t="shared" si="91"/>
        <v>264.08267499999999</v>
      </c>
      <c r="N929">
        <v>45839</v>
      </c>
      <c r="O929">
        <f t="shared" ca="1" si="89"/>
        <v>0.96000000000000008</v>
      </c>
    </row>
    <row r="930" spans="1:15" x14ac:dyDescent="0.2">
      <c r="A930" t="str">
        <f ca="1">IFERROR(__xludf.DUMMYFUNCTION("""COMPUTED_VALUE"""),"km")</f>
        <v>km</v>
      </c>
      <c r="B930" t="str">
        <f ca="1">IFERROR(__xludf.DUMMYFUNCTION("""COMPUTED_VALUE"""),"Model S 85D")</f>
        <v>Model S 85D</v>
      </c>
      <c r="D930">
        <f ca="1">IFERROR(__xludf.DUMMYFUNCTION("""COMPUTED_VALUE"""),49489)</f>
        <v>49489</v>
      </c>
      <c r="E930">
        <f ca="1">IFERROR(__xludf.DUMMYFUNCTION("""COMPUTED_VALUE"""),408)</f>
        <v>408</v>
      </c>
      <c r="F930">
        <v>425</v>
      </c>
      <c r="G930">
        <v>0.96</v>
      </c>
      <c r="H930">
        <v>30751</v>
      </c>
      <c r="I930">
        <v>49489</v>
      </c>
      <c r="J930">
        <v>30751</v>
      </c>
      <c r="K930">
        <v>0.96831818047246054</v>
      </c>
      <c r="L930">
        <f t="shared" ca="1" si="90"/>
        <v>253.51936800000001</v>
      </c>
      <c r="M930">
        <f t="shared" si="91"/>
        <v>264.08267499999999</v>
      </c>
      <c r="N930">
        <v>30751</v>
      </c>
      <c r="O930">
        <f t="shared" ca="1" si="89"/>
        <v>0.96000000000000008</v>
      </c>
    </row>
    <row r="931" spans="1:15" x14ac:dyDescent="0.2">
      <c r="A931" t="str">
        <f ca="1">IFERROR(__xludf.DUMMYFUNCTION("""COMPUTED_VALUE"""),"km")</f>
        <v>km</v>
      </c>
      <c r="B931" t="str">
        <f ca="1">IFERROR(__xludf.DUMMYFUNCTION("""COMPUTED_VALUE"""),"Model S 85D")</f>
        <v>Model S 85D</v>
      </c>
      <c r="D931">
        <f ca="1">IFERROR(__xludf.DUMMYFUNCTION("""COMPUTED_VALUE"""),44051)</f>
        <v>44051</v>
      </c>
      <c r="E931">
        <f ca="1">IFERROR(__xludf.DUMMYFUNCTION("""COMPUTED_VALUE"""),408)</f>
        <v>408</v>
      </c>
      <c r="F931">
        <v>425</v>
      </c>
      <c r="G931">
        <v>0.96</v>
      </c>
      <c r="H931">
        <v>27372</v>
      </c>
      <c r="I931">
        <v>44051</v>
      </c>
      <c r="J931">
        <v>27372</v>
      </c>
      <c r="K931">
        <v>0.97157739307748359</v>
      </c>
      <c r="L931">
        <f t="shared" ca="1" si="90"/>
        <v>253.51936800000001</v>
      </c>
      <c r="M931">
        <f t="shared" si="91"/>
        <v>264.08267499999999</v>
      </c>
      <c r="N931">
        <v>27372</v>
      </c>
      <c r="O931">
        <f t="shared" ca="1" si="89"/>
        <v>0.96000000000000008</v>
      </c>
    </row>
    <row r="932" spans="1:15" x14ac:dyDescent="0.2">
      <c r="A932" t="str">
        <f ca="1">IFERROR(__xludf.DUMMYFUNCTION("""COMPUTED_VALUE"""),"km")</f>
        <v>km</v>
      </c>
      <c r="B932" t="str">
        <f ca="1">IFERROR(__xludf.DUMMYFUNCTION("""COMPUTED_VALUE"""),"Model S 85D")</f>
        <v>Model S 85D</v>
      </c>
      <c r="C932">
        <f ca="1">IFERROR(__xludf.DUMMYFUNCTION("""COMPUTED_VALUE"""),408)</f>
        <v>408</v>
      </c>
      <c r="D932">
        <f ca="1">IFERROR(__xludf.DUMMYFUNCTION("""COMPUTED_VALUE"""),3200)</f>
        <v>3200</v>
      </c>
      <c r="E932">
        <f ca="1">IFERROR(__xludf.DUMMYFUNCTION("""COMPUTED_VALUE"""),408)</f>
        <v>408</v>
      </c>
      <c r="F932">
        <v>425</v>
      </c>
      <c r="G932">
        <v>0.96</v>
      </c>
      <c r="H932">
        <v>1988</v>
      </c>
      <c r="I932">
        <v>3200</v>
      </c>
      <c r="J932">
        <v>1988</v>
      </c>
      <c r="K932">
        <v>0.99781621007263799</v>
      </c>
      <c r="L932">
        <f t="shared" ca="1" si="90"/>
        <v>253.51936800000001</v>
      </c>
      <c r="M932">
        <f t="shared" si="91"/>
        <v>264.08267499999999</v>
      </c>
      <c r="N932">
        <v>1988</v>
      </c>
      <c r="O932">
        <f t="shared" ca="1" si="89"/>
        <v>0.96000000000000008</v>
      </c>
    </row>
    <row r="933" spans="1:15" x14ac:dyDescent="0.2">
      <c r="A933" t="str">
        <f ca="1">IFERROR(__xludf.DUMMYFUNCTION("""COMPUTED_VALUE"""),"km")</f>
        <v>km</v>
      </c>
      <c r="B933" t="str">
        <f ca="1">IFERROR(__xludf.DUMMYFUNCTION("""COMPUTED_VALUE"""),"Model S P85D")</f>
        <v>Model S P85D</v>
      </c>
      <c r="C933">
        <f ca="1">IFERROR(__xludf.DUMMYFUNCTION("""COMPUTED_VALUE"""),406)</f>
        <v>406</v>
      </c>
      <c r="D933">
        <f ca="1">IFERROR(__xludf.DUMMYFUNCTION("""COMPUTED_VALUE"""),39061)</f>
        <v>39061</v>
      </c>
      <c r="E933">
        <f ca="1">IFERROR(__xludf.DUMMYFUNCTION("""COMPUTED_VALUE"""),387)</f>
        <v>387</v>
      </c>
      <c r="F933">
        <v>403</v>
      </c>
      <c r="G933">
        <v>0.96029776674937961</v>
      </c>
      <c r="H933">
        <v>24271</v>
      </c>
      <c r="I933">
        <v>39061</v>
      </c>
      <c r="J933">
        <v>24271</v>
      </c>
      <c r="K933">
        <v>0.97461705708716329</v>
      </c>
      <c r="L933">
        <f t="shared" ca="1" si="90"/>
        <v>240.47057699999999</v>
      </c>
      <c r="M933">
        <f t="shared" si="91"/>
        <v>250.41251299999999</v>
      </c>
      <c r="N933">
        <v>24271</v>
      </c>
      <c r="O933">
        <f t="shared" ca="1" si="89"/>
        <v>0.96029776674937961</v>
      </c>
    </row>
    <row r="934" spans="1:15" x14ac:dyDescent="0.2">
      <c r="A934" t="str">
        <f ca="1">IFERROR(__xludf.DUMMYFUNCTION("""COMPUTED_VALUE"""),"km")</f>
        <v>km</v>
      </c>
      <c r="B934" t="str">
        <f ca="1">IFERROR(__xludf.DUMMYFUNCTION("""COMPUTED_VALUE"""),"Model S P85D")</f>
        <v>Model S P85D</v>
      </c>
      <c r="C934">
        <f ca="1">IFERROR(__xludf.DUMMYFUNCTION("""COMPUTED_VALUE"""),406)</f>
        <v>406</v>
      </c>
      <c r="D934">
        <f ca="1">IFERROR(__xludf.DUMMYFUNCTION("""COMPUTED_VALUE"""),50105)</f>
        <v>50105</v>
      </c>
      <c r="E934">
        <f ca="1">IFERROR(__xludf.DUMMYFUNCTION("""COMPUTED_VALUE"""),387)</f>
        <v>387</v>
      </c>
      <c r="F934">
        <v>403</v>
      </c>
      <c r="G934">
        <v>0.96029776674937961</v>
      </c>
      <c r="H934">
        <v>31134</v>
      </c>
      <c r="I934">
        <v>50105</v>
      </c>
      <c r="J934">
        <v>31134</v>
      </c>
      <c r="K934">
        <v>0.96795251006896965</v>
      </c>
      <c r="L934">
        <f t="shared" ca="1" si="90"/>
        <v>240.47057699999999</v>
      </c>
      <c r="M934">
        <f t="shared" si="91"/>
        <v>250.41251299999999</v>
      </c>
      <c r="N934">
        <v>31134</v>
      </c>
      <c r="O934">
        <f t="shared" ca="1" si="89"/>
        <v>0.96029776674937961</v>
      </c>
    </row>
    <row r="935" spans="1:15" x14ac:dyDescent="0.2">
      <c r="A935" t="str">
        <f ca="1">IFERROR(__xludf.DUMMYFUNCTION("""COMPUTED_VALUE"""),"km")</f>
        <v>km</v>
      </c>
      <c r="B935" t="str">
        <f ca="1">IFERROR(__xludf.DUMMYFUNCTION("""COMPUTED_VALUE"""),"Model X 75D")</f>
        <v>Model X 75D</v>
      </c>
      <c r="C935">
        <f ca="1">IFERROR(__xludf.DUMMYFUNCTION("""COMPUTED_VALUE"""),334)</f>
        <v>334</v>
      </c>
      <c r="D935">
        <f ca="1">IFERROR(__xludf.DUMMYFUNCTION("""COMPUTED_VALUE"""),31718)</f>
        <v>31718</v>
      </c>
      <c r="E935">
        <f ca="1">IFERROR(__xludf.DUMMYFUNCTION("""COMPUTED_VALUE"""),316)</f>
        <v>316</v>
      </c>
      <c r="F935">
        <v>329</v>
      </c>
      <c r="G935">
        <v>0.96048632218844987</v>
      </c>
      <c r="H935">
        <v>19709</v>
      </c>
      <c r="I935">
        <v>31718</v>
      </c>
      <c r="J935">
        <v>19709</v>
      </c>
      <c r="K935">
        <v>0.97917468380468986</v>
      </c>
      <c r="L935">
        <f t="shared" ca="1" si="90"/>
        <v>196.35323600000001</v>
      </c>
      <c r="M935">
        <f t="shared" si="91"/>
        <v>204.431059</v>
      </c>
      <c r="N935">
        <v>19709</v>
      </c>
      <c r="O935">
        <f t="shared" ca="1" si="89"/>
        <v>0.96048632218844987</v>
      </c>
    </row>
    <row r="936" spans="1:15" x14ac:dyDescent="0.2">
      <c r="A936" t="str">
        <f ca="1">IFERROR(__xludf.DUMMYFUNCTION("""COMPUTED_VALUE"""),"km")</f>
        <v>km</v>
      </c>
      <c r="B936" t="str">
        <f ca="1">IFERROR(__xludf.DUMMYFUNCTION("""COMPUTED_VALUE"""),"Model S 100D")</f>
        <v>Model S 100D</v>
      </c>
      <c r="C936">
        <f ca="1">IFERROR(__xludf.DUMMYFUNCTION("""COMPUTED_VALUE"""),501)</f>
        <v>501</v>
      </c>
      <c r="D936">
        <f ca="1">IFERROR(__xludf.DUMMYFUNCTION("""COMPUTED_VALUE"""),16000)</f>
        <v>16000</v>
      </c>
      <c r="E936">
        <f ca="1">IFERROR(__xludf.DUMMYFUNCTION("""COMPUTED_VALUE"""),490)</f>
        <v>490</v>
      </c>
      <c r="F936">
        <v>510</v>
      </c>
      <c r="G936">
        <v>0.96078431372549022</v>
      </c>
      <c r="H936">
        <v>9942</v>
      </c>
      <c r="I936">
        <v>16000</v>
      </c>
      <c r="J936">
        <v>9942</v>
      </c>
      <c r="K936">
        <v>0.98926563562983649</v>
      </c>
      <c r="L936">
        <f t="shared" ca="1" si="90"/>
        <v>304.47179</v>
      </c>
      <c r="M936">
        <f t="shared" si="91"/>
        <v>316.89920999999998</v>
      </c>
      <c r="N936">
        <v>9942</v>
      </c>
      <c r="O936">
        <f t="shared" ca="1" si="89"/>
        <v>0.96078431372549022</v>
      </c>
    </row>
    <row r="937" spans="1:15" x14ac:dyDescent="0.2">
      <c r="A937" t="str">
        <f ca="1">IFERROR(__xludf.DUMMYFUNCTION("""COMPUTED_VALUE"""),"mi")</f>
        <v>mi</v>
      </c>
      <c r="B937" t="str">
        <f ca="1">IFERROR(__xludf.DUMMYFUNCTION("""COMPUTED_VALUE"""),"Model X 90D")</f>
        <v>Model X 90D</v>
      </c>
      <c r="C937">
        <f ca="1">IFERROR(__xludf.DUMMYFUNCTION("""COMPUTED_VALUE"""),257)</f>
        <v>257</v>
      </c>
      <c r="D937">
        <f ca="1">IFERROR(__xludf.DUMMYFUNCTION("""COMPUTED_VALUE"""),17812)</f>
        <v>17812</v>
      </c>
      <c r="E937">
        <f ca="1">IFERROR(__xludf.DUMMYFUNCTION("""COMPUTED_VALUE"""),247)</f>
        <v>247</v>
      </c>
      <c r="F937">
        <v>257</v>
      </c>
      <c r="G937">
        <v>0.96108949416342415</v>
      </c>
      <c r="H937">
        <v>17812</v>
      </c>
      <c r="I937">
        <v>28666</v>
      </c>
      <c r="J937">
        <v>17812</v>
      </c>
      <c r="K937">
        <v>0.98109846375386245</v>
      </c>
      <c r="L937">
        <f ca="1">IFERROR(__xludf.DUMMYFUNCTION("""COMPUTED_VALUE"""),247)</f>
        <v>247</v>
      </c>
      <c r="M937">
        <v>257</v>
      </c>
      <c r="N937">
        <v>17812</v>
      </c>
      <c r="O937">
        <f t="shared" ca="1" si="89"/>
        <v>0.96108949416342415</v>
      </c>
    </row>
    <row r="938" spans="1:15" x14ac:dyDescent="0.2">
      <c r="A938" t="str">
        <f ca="1">IFERROR(__xludf.DUMMYFUNCTION("""COMPUTED_VALUE"""),"km")</f>
        <v>km</v>
      </c>
      <c r="B938" t="str">
        <f ca="1">IFERROR(__xludf.DUMMYFUNCTION("""COMPUTED_VALUE"""),"Model S 70D")</f>
        <v>Model S 70D</v>
      </c>
      <c r="D938">
        <f ca="1">IFERROR(__xludf.DUMMYFUNCTION("""COMPUTED_VALUE"""),118015)</f>
        <v>118015</v>
      </c>
      <c r="E938">
        <f ca="1">IFERROR(__xludf.DUMMYFUNCTION("""COMPUTED_VALUE"""),346)</f>
        <v>346</v>
      </c>
      <c r="F938">
        <v>360</v>
      </c>
      <c r="G938">
        <v>0.96111111111111114</v>
      </c>
      <c r="H938">
        <v>73331</v>
      </c>
      <c r="I938">
        <v>118015</v>
      </c>
      <c r="J938">
        <v>73331</v>
      </c>
      <c r="K938">
        <v>0.93216177077394957</v>
      </c>
      <c r="L938">
        <f t="shared" ref="L938:M940" ca="1" si="92">E938*0.621371</f>
        <v>214.99436600000001</v>
      </c>
      <c r="M938">
        <f t="shared" si="92"/>
        <v>223.69355999999999</v>
      </c>
      <c r="N938">
        <v>73331</v>
      </c>
      <c r="O938">
        <f t="shared" ca="1" si="89"/>
        <v>0.96111111111111125</v>
      </c>
    </row>
    <row r="939" spans="1:15" x14ac:dyDescent="0.2">
      <c r="A939" t="str">
        <f ca="1">IFERROR(__xludf.DUMMYFUNCTION("""COMPUTED_VALUE"""),"km")</f>
        <v>km</v>
      </c>
      <c r="B939" t="str">
        <f ca="1">IFERROR(__xludf.DUMMYFUNCTION("""COMPUTED_VALUE"""),"Model S 70D")</f>
        <v>Model S 70D</v>
      </c>
      <c r="C939">
        <f ca="1">IFERROR(__xludf.DUMMYFUNCTION("""COMPUTED_VALUE"""),360)</f>
        <v>360</v>
      </c>
      <c r="D939">
        <f ca="1">IFERROR(__xludf.DUMMYFUNCTION("""COMPUTED_VALUE"""),127380)</f>
        <v>127380</v>
      </c>
      <c r="E939">
        <f ca="1">IFERROR(__xludf.DUMMYFUNCTION("""COMPUTED_VALUE"""),346)</f>
        <v>346</v>
      </c>
      <c r="F939">
        <v>360</v>
      </c>
      <c r="G939">
        <v>0.96111111111111114</v>
      </c>
      <c r="H939">
        <v>79150</v>
      </c>
      <c r="I939">
        <v>127380</v>
      </c>
      <c r="J939">
        <v>79150</v>
      </c>
      <c r="K939">
        <v>0.9279503937781356</v>
      </c>
      <c r="L939">
        <f t="shared" ca="1" si="92"/>
        <v>214.99436600000001</v>
      </c>
      <c r="M939">
        <f t="shared" si="92"/>
        <v>223.69355999999999</v>
      </c>
      <c r="N939">
        <v>79150</v>
      </c>
      <c r="O939">
        <f t="shared" ca="1" si="89"/>
        <v>0.96111111111111125</v>
      </c>
    </row>
    <row r="940" spans="1:15" x14ac:dyDescent="0.2">
      <c r="A940" t="str">
        <f ca="1">IFERROR(__xludf.DUMMYFUNCTION("""COMPUTED_VALUE"""),"km")</f>
        <v>km</v>
      </c>
      <c r="B940" t="str">
        <f ca="1">IFERROR(__xludf.DUMMYFUNCTION("""COMPUTED_VALUE"""),"Model S 70D")</f>
        <v>Model S 70D</v>
      </c>
      <c r="C940">
        <f ca="1">IFERROR(__xludf.DUMMYFUNCTION("""COMPUTED_VALUE"""),360)</f>
        <v>360</v>
      </c>
      <c r="D940">
        <f ca="1">IFERROR(__xludf.DUMMYFUNCTION("""COMPUTED_VALUE"""),119635)</f>
        <v>119635</v>
      </c>
      <c r="E940">
        <f ca="1">IFERROR(__xludf.DUMMYFUNCTION("""COMPUTED_VALUE"""),346)</f>
        <v>346</v>
      </c>
      <c r="F940">
        <v>360</v>
      </c>
      <c r="G940">
        <v>0.96111111111111114</v>
      </c>
      <c r="H940">
        <v>74338</v>
      </c>
      <c r="I940">
        <v>119635</v>
      </c>
      <c r="J940">
        <v>74338</v>
      </c>
      <c r="K940">
        <v>0.93142037812474454</v>
      </c>
      <c r="L940">
        <f t="shared" ca="1" si="92"/>
        <v>214.99436600000001</v>
      </c>
      <c r="M940">
        <f t="shared" si="92"/>
        <v>223.69355999999999</v>
      </c>
      <c r="N940">
        <v>74338</v>
      </c>
      <c r="O940">
        <f t="shared" ca="1" si="89"/>
        <v>0.96111111111111125</v>
      </c>
    </row>
    <row r="941" spans="1:15" x14ac:dyDescent="0.2">
      <c r="A941" t="str">
        <f ca="1">IFERROR(__xludf.DUMMYFUNCTION("""COMPUTED_VALUE"""),"mi")</f>
        <v>mi</v>
      </c>
      <c r="B941" t="str">
        <f ca="1">IFERROR(__xludf.DUMMYFUNCTION("""COMPUTED_VALUE"""),"Model 3 LR AWD")</f>
        <v>Model 3 LR AWD</v>
      </c>
      <c r="C941">
        <f ca="1">IFERROR(__xludf.DUMMYFUNCTION("""COMPUTED_VALUE"""),310)</f>
        <v>310</v>
      </c>
      <c r="D941">
        <f ca="1">IFERROR(__xludf.DUMMYFUNCTION("""COMPUTED_VALUE"""),4462)</f>
        <v>4462</v>
      </c>
      <c r="E941">
        <f ca="1">IFERROR(__xludf.DUMMYFUNCTION("""COMPUTED_VALUE"""),298)</f>
        <v>298</v>
      </c>
      <c r="F941">
        <v>310</v>
      </c>
      <c r="G941">
        <v>0.96129032258064517</v>
      </c>
      <c r="H941">
        <v>4462</v>
      </c>
      <c r="I941">
        <v>7181</v>
      </c>
      <c r="J941">
        <v>4462</v>
      </c>
      <c r="K941">
        <v>0.99512511873682041</v>
      </c>
      <c r="L941">
        <f ca="1">IFERROR(__xludf.DUMMYFUNCTION("""COMPUTED_VALUE"""),298)</f>
        <v>298</v>
      </c>
      <c r="M941">
        <v>310</v>
      </c>
      <c r="N941">
        <v>4462</v>
      </c>
      <c r="O941">
        <f t="shared" ca="1" si="89"/>
        <v>0.96129032258064517</v>
      </c>
    </row>
    <row r="942" spans="1:15" x14ac:dyDescent="0.2">
      <c r="A942" t="str">
        <f ca="1">IFERROR(__xludf.DUMMYFUNCTION("""COMPUTED_VALUE"""),"mi")</f>
        <v>mi</v>
      </c>
      <c r="B942" t="str">
        <f ca="1">IFERROR(__xludf.DUMMYFUNCTION("""COMPUTED_VALUE"""),"Model S 60")</f>
        <v>Model S 60</v>
      </c>
      <c r="D942">
        <f ca="1">IFERROR(__xludf.DUMMYFUNCTION("""COMPUTED_VALUE"""),50300)</f>
        <v>50300</v>
      </c>
      <c r="E942">
        <f ca="1">IFERROR(__xludf.DUMMYFUNCTION("""COMPUTED_VALUE"""),199)</f>
        <v>199</v>
      </c>
      <c r="F942">
        <v>207</v>
      </c>
      <c r="G942">
        <v>0.96135265700483097</v>
      </c>
      <c r="H942">
        <v>50300</v>
      </c>
      <c r="I942">
        <v>80950</v>
      </c>
      <c r="J942">
        <v>50300</v>
      </c>
      <c r="K942">
        <v>0.95057200090685856</v>
      </c>
      <c r="L942">
        <f ca="1">IFERROR(__xludf.DUMMYFUNCTION("""COMPUTED_VALUE"""),199)</f>
        <v>199</v>
      </c>
      <c r="M942">
        <v>207</v>
      </c>
      <c r="N942">
        <v>50300</v>
      </c>
      <c r="O942">
        <f t="shared" ca="1" si="89"/>
        <v>0.96135265700483097</v>
      </c>
    </row>
    <row r="943" spans="1:15" x14ac:dyDescent="0.2">
      <c r="A943" t="str">
        <f ca="1">IFERROR(__xludf.DUMMYFUNCTION("""COMPUTED_VALUE"""),"km")</f>
        <v>km</v>
      </c>
      <c r="B943" t="str">
        <f ca="1">IFERROR(__xludf.DUMMYFUNCTION("""COMPUTED_VALUE"""),"Model 3 LR AWD")</f>
        <v>Model 3 LR AWD</v>
      </c>
      <c r="C943">
        <f ca="1">IFERROR(__xludf.DUMMYFUNCTION("""COMPUTED_VALUE"""),497)</f>
        <v>497</v>
      </c>
      <c r="D943">
        <f ca="1">IFERROR(__xludf.DUMMYFUNCTION("""COMPUTED_VALUE"""),34232)</f>
        <v>34232</v>
      </c>
      <c r="E943">
        <f ca="1">IFERROR(__xludf.DUMMYFUNCTION("""COMPUTED_VALUE"""),480)</f>
        <v>480</v>
      </c>
      <c r="F943">
        <v>499</v>
      </c>
      <c r="G943">
        <v>0.96192384769539074</v>
      </c>
      <c r="H943">
        <v>21271</v>
      </c>
      <c r="I943">
        <v>34232</v>
      </c>
      <c r="J943">
        <v>21271</v>
      </c>
      <c r="K943">
        <v>0.9776030004511288</v>
      </c>
      <c r="L943">
        <f t="shared" ref="L943:L982" ca="1" si="93">E943*0.621371</f>
        <v>298.25808000000001</v>
      </c>
      <c r="M943">
        <f t="shared" ref="M943:M982" si="94">F943*0.621371</f>
        <v>310.06412899999998</v>
      </c>
      <c r="N943">
        <v>21271</v>
      </c>
      <c r="O943">
        <f t="shared" ca="1" si="89"/>
        <v>0.96192384769539085</v>
      </c>
    </row>
    <row r="944" spans="1:15" x14ac:dyDescent="0.2">
      <c r="A944" t="str">
        <f ca="1">IFERROR(__xludf.DUMMYFUNCTION("""COMPUTED_VALUE"""),"km")</f>
        <v>km</v>
      </c>
      <c r="B944" t="str">
        <f ca="1">IFERROR(__xludf.DUMMYFUNCTION("""COMPUTED_VALUE"""),"Model 3 LR AWD")</f>
        <v>Model 3 LR AWD</v>
      </c>
      <c r="C944">
        <f ca="1">IFERROR(__xludf.DUMMYFUNCTION("""COMPUTED_VALUE"""),499)</f>
        <v>499</v>
      </c>
      <c r="D944">
        <f ca="1">IFERROR(__xludf.DUMMYFUNCTION("""COMPUTED_VALUE"""),20865)</f>
        <v>20865</v>
      </c>
      <c r="E944">
        <f ca="1">IFERROR(__xludf.DUMMYFUNCTION("""COMPUTED_VALUE"""),480)</f>
        <v>480</v>
      </c>
      <c r="F944">
        <v>499</v>
      </c>
      <c r="G944">
        <v>0.96192384769539074</v>
      </c>
      <c r="H944">
        <v>12965</v>
      </c>
      <c r="I944">
        <v>20865</v>
      </c>
      <c r="J944">
        <v>12965</v>
      </c>
      <c r="K944">
        <v>0.98609382098418186</v>
      </c>
      <c r="L944">
        <f t="shared" ca="1" si="93"/>
        <v>298.25808000000001</v>
      </c>
      <c r="M944">
        <f t="shared" si="94"/>
        <v>310.06412899999998</v>
      </c>
      <c r="N944">
        <v>12965</v>
      </c>
      <c r="O944">
        <f t="shared" ca="1" si="89"/>
        <v>0.96192384769539085</v>
      </c>
    </row>
    <row r="945" spans="1:15" x14ac:dyDescent="0.2">
      <c r="A945" t="str">
        <f ca="1">IFERROR(__xludf.DUMMYFUNCTION("""COMPUTED_VALUE"""),"km")</f>
        <v>km</v>
      </c>
      <c r="B945" t="str">
        <f ca="1">IFERROR(__xludf.DUMMYFUNCTION("""COMPUTED_VALUE"""),"Model 3 P")</f>
        <v>Model 3 P</v>
      </c>
      <c r="C945">
        <f ca="1">IFERROR(__xludf.DUMMYFUNCTION("""COMPUTED_VALUE"""),499)</f>
        <v>499</v>
      </c>
      <c r="D945">
        <f ca="1">IFERROR(__xludf.DUMMYFUNCTION("""COMPUTED_VALUE"""),35835)</f>
        <v>35835</v>
      </c>
      <c r="E945">
        <f ca="1">IFERROR(__xludf.DUMMYFUNCTION("""COMPUTED_VALUE"""),480)</f>
        <v>480</v>
      </c>
      <c r="F945">
        <v>499</v>
      </c>
      <c r="G945">
        <v>0.96192384769539074</v>
      </c>
      <c r="H945">
        <v>22267</v>
      </c>
      <c r="I945">
        <v>35835</v>
      </c>
      <c r="J945">
        <v>22267</v>
      </c>
      <c r="K945">
        <v>0.97660698606930207</v>
      </c>
      <c r="L945">
        <f t="shared" ca="1" si="93"/>
        <v>298.25808000000001</v>
      </c>
      <c r="M945">
        <f t="shared" si="94"/>
        <v>310.06412899999998</v>
      </c>
      <c r="N945">
        <v>22267</v>
      </c>
      <c r="O945">
        <f t="shared" ca="1" si="89"/>
        <v>0.96192384769539085</v>
      </c>
    </row>
    <row r="946" spans="1:15" x14ac:dyDescent="0.2">
      <c r="A946" t="str">
        <f ca="1">IFERROR(__xludf.DUMMYFUNCTION("""COMPUTED_VALUE"""),"km")</f>
        <v>km</v>
      </c>
      <c r="B946" t="str">
        <f ca="1">IFERROR(__xludf.DUMMYFUNCTION("""COMPUTED_VALUE"""),"Model 3 LR AWD")</f>
        <v>Model 3 LR AWD</v>
      </c>
      <c r="C946">
        <f ca="1">IFERROR(__xludf.DUMMYFUNCTION("""COMPUTED_VALUE"""),499)</f>
        <v>499</v>
      </c>
      <c r="D946">
        <f ca="1">IFERROR(__xludf.DUMMYFUNCTION("""COMPUTED_VALUE"""),72000)</f>
        <v>72000</v>
      </c>
      <c r="E946">
        <f ca="1">IFERROR(__xludf.DUMMYFUNCTION("""COMPUTED_VALUE"""),480)</f>
        <v>480</v>
      </c>
      <c r="F946">
        <v>499</v>
      </c>
      <c r="G946">
        <v>0.96192384769539074</v>
      </c>
      <c r="H946">
        <v>44739</v>
      </c>
      <c r="I946">
        <v>72000</v>
      </c>
      <c r="J946">
        <v>44739</v>
      </c>
      <c r="K946">
        <v>0.95542578960188229</v>
      </c>
      <c r="L946">
        <f t="shared" ca="1" si="93"/>
        <v>298.25808000000001</v>
      </c>
      <c r="M946">
        <f t="shared" si="94"/>
        <v>310.06412899999998</v>
      </c>
      <c r="N946">
        <v>44739</v>
      </c>
      <c r="O946">
        <f t="shared" ca="1" si="89"/>
        <v>0.96192384769539085</v>
      </c>
    </row>
    <row r="947" spans="1:15" x14ac:dyDescent="0.2">
      <c r="A947" t="str">
        <f ca="1">IFERROR(__xludf.DUMMYFUNCTION("""COMPUTED_VALUE"""),"km")</f>
        <v>km</v>
      </c>
      <c r="B947" t="str">
        <f ca="1">IFERROR(__xludf.DUMMYFUNCTION("""COMPUTED_VALUE"""),"Model 3 LR AWD")</f>
        <v>Model 3 LR AWD</v>
      </c>
      <c r="C947">
        <f ca="1">IFERROR(__xludf.DUMMYFUNCTION("""COMPUTED_VALUE"""),480)</f>
        <v>480</v>
      </c>
      <c r="D947">
        <f ca="1">IFERROR(__xludf.DUMMYFUNCTION("""COMPUTED_VALUE"""),1400)</f>
        <v>1400</v>
      </c>
      <c r="E947">
        <f ca="1">IFERROR(__xludf.DUMMYFUNCTION("""COMPUTED_VALUE"""),480)</f>
        <v>480</v>
      </c>
      <c r="F947">
        <v>499</v>
      </c>
      <c r="G947">
        <v>0.96192384769539074</v>
      </c>
      <c r="H947">
        <v>870</v>
      </c>
      <c r="I947">
        <v>1400</v>
      </c>
      <c r="J947">
        <v>870</v>
      </c>
      <c r="K947">
        <v>0.99904233317429769</v>
      </c>
      <c r="L947">
        <f t="shared" ca="1" si="93"/>
        <v>298.25808000000001</v>
      </c>
      <c r="M947">
        <f t="shared" si="94"/>
        <v>310.06412899999998</v>
      </c>
      <c r="N947">
        <v>870</v>
      </c>
      <c r="O947">
        <f t="shared" ca="1" si="89"/>
        <v>0.96192384769539085</v>
      </c>
    </row>
    <row r="948" spans="1:15" x14ac:dyDescent="0.2">
      <c r="A948" t="str">
        <f ca="1">IFERROR(__xludf.DUMMYFUNCTION("""COMPUTED_VALUE"""),"km")</f>
        <v>km</v>
      </c>
      <c r="B948" t="str">
        <f ca="1">IFERROR(__xludf.DUMMYFUNCTION("""COMPUTED_VALUE"""),"Model S 90D")</f>
        <v>Model S 90D</v>
      </c>
      <c r="C948">
        <f ca="1">IFERROR(__xludf.DUMMYFUNCTION("""COMPUTED_VALUE"""),455)</f>
        <v>455</v>
      </c>
      <c r="D948">
        <f ca="1">IFERROR(__xludf.DUMMYFUNCTION("""COMPUTED_VALUE"""),26700)</f>
        <v>26700</v>
      </c>
      <c r="E948">
        <f ca="1">IFERROR(__xludf.DUMMYFUNCTION("""COMPUTED_VALUE"""),430)</f>
        <v>430</v>
      </c>
      <c r="F948">
        <v>447</v>
      </c>
      <c r="G948">
        <v>0.96196868008948544</v>
      </c>
      <c r="H948">
        <v>16591</v>
      </c>
      <c r="I948">
        <v>26700</v>
      </c>
      <c r="J948">
        <v>16591</v>
      </c>
      <c r="K948">
        <v>0.9823468237234253</v>
      </c>
      <c r="L948">
        <f t="shared" ca="1" si="93"/>
        <v>267.18952999999999</v>
      </c>
      <c r="M948">
        <f t="shared" si="94"/>
        <v>277.752837</v>
      </c>
      <c r="N948">
        <v>16591</v>
      </c>
      <c r="O948">
        <f t="shared" ca="1" si="89"/>
        <v>0.96196868008948544</v>
      </c>
    </row>
    <row r="949" spans="1:15" x14ac:dyDescent="0.2">
      <c r="A949" t="str">
        <f ca="1">IFERROR(__xludf.DUMMYFUNCTION("""COMPUTED_VALUE"""),"km")</f>
        <v>km</v>
      </c>
      <c r="B949" t="str">
        <f ca="1">IFERROR(__xludf.DUMMYFUNCTION("""COMPUTED_VALUE"""),"Model S 90D")</f>
        <v>Model S 90D</v>
      </c>
      <c r="D949">
        <f ca="1">IFERROR(__xludf.DUMMYFUNCTION("""COMPUTED_VALUE"""),41845)</f>
        <v>41845</v>
      </c>
      <c r="E949">
        <f ca="1">IFERROR(__xludf.DUMMYFUNCTION("""COMPUTED_VALUE"""),430)</f>
        <v>430</v>
      </c>
      <c r="F949">
        <v>447</v>
      </c>
      <c r="G949">
        <v>0.96196868008948544</v>
      </c>
      <c r="H949">
        <v>26001</v>
      </c>
      <c r="I949">
        <v>41845</v>
      </c>
      <c r="J949">
        <v>26001</v>
      </c>
      <c r="K949">
        <v>0.97291541911215762</v>
      </c>
      <c r="L949">
        <f t="shared" ca="1" si="93"/>
        <v>267.18952999999999</v>
      </c>
      <c r="M949">
        <f t="shared" si="94"/>
        <v>277.752837</v>
      </c>
      <c r="N949">
        <v>26001</v>
      </c>
      <c r="O949">
        <f t="shared" ca="1" si="89"/>
        <v>0.96196868008948544</v>
      </c>
    </row>
    <row r="950" spans="1:15" x14ac:dyDescent="0.2">
      <c r="A950" t="str">
        <f ca="1">IFERROR(__xludf.DUMMYFUNCTION("""COMPUTED_VALUE"""),"km")</f>
        <v>km</v>
      </c>
      <c r="B950" t="str">
        <f ca="1">IFERROR(__xludf.DUMMYFUNCTION("""COMPUTED_VALUE"""),"Model S 90D")</f>
        <v>Model S 90D</v>
      </c>
      <c r="D950">
        <f ca="1">IFERROR(__xludf.DUMMYFUNCTION("""COMPUTED_VALUE"""),53335)</f>
        <v>53335</v>
      </c>
      <c r="E950">
        <f ca="1">IFERROR(__xludf.DUMMYFUNCTION("""COMPUTED_VALUE"""),430)</f>
        <v>430</v>
      </c>
      <c r="F950">
        <v>447</v>
      </c>
      <c r="G950">
        <v>0.96196868008948544</v>
      </c>
      <c r="H950">
        <v>33141</v>
      </c>
      <c r="I950">
        <v>53335</v>
      </c>
      <c r="J950">
        <v>33141</v>
      </c>
      <c r="K950">
        <v>0.96604689248249953</v>
      </c>
      <c r="L950">
        <f t="shared" ca="1" si="93"/>
        <v>267.18952999999999</v>
      </c>
      <c r="M950">
        <f t="shared" si="94"/>
        <v>277.752837</v>
      </c>
      <c r="N950">
        <v>33141</v>
      </c>
      <c r="O950">
        <f t="shared" ca="1" si="89"/>
        <v>0.96196868008948544</v>
      </c>
    </row>
    <row r="951" spans="1:15" x14ac:dyDescent="0.2">
      <c r="A951" t="str">
        <f ca="1">IFERROR(__xludf.DUMMYFUNCTION("""COMPUTED_VALUE"""),"km")</f>
        <v>km</v>
      </c>
      <c r="B951" t="str">
        <f ca="1">IFERROR(__xludf.DUMMYFUNCTION("""COMPUTED_VALUE"""),"Model S P85")</f>
        <v>Model S P85</v>
      </c>
      <c r="D951">
        <f ca="1">IFERROR(__xludf.DUMMYFUNCTION("""COMPUTED_VALUE"""),64584)</f>
        <v>64584</v>
      </c>
      <c r="E951">
        <f ca="1">IFERROR(__xludf.DUMMYFUNCTION("""COMPUTED_VALUE"""),380)</f>
        <v>380</v>
      </c>
      <c r="F951">
        <v>395</v>
      </c>
      <c r="G951">
        <v>0.96202531645569622</v>
      </c>
      <c r="H951">
        <v>40131</v>
      </c>
      <c r="I951">
        <v>64584</v>
      </c>
      <c r="J951">
        <v>40131</v>
      </c>
      <c r="K951">
        <v>0.95956557221459471</v>
      </c>
      <c r="L951">
        <f t="shared" ca="1" si="93"/>
        <v>236.12098</v>
      </c>
      <c r="M951">
        <f t="shared" si="94"/>
        <v>245.44154499999999</v>
      </c>
      <c r="N951">
        <v>40131</v>
      </c>
      <c r="O951">
        <f t="shared" ca="1" si="89"/>
        <v>0.96202531645569622</v>
      </c>
    </row>
    <row r="952" spans="1:15" x14ac:dyDescent="0.2">
      <c r="A952" t="str">
        <f ca="1">IFERROR(__xludf.DUMMYFUNCTION("""COMPUTED_VALUE"""),"km")</f>
        <v>km</v>
      </c>
      <c r="B952" t="str">
        <f ca="1">IFERROR(__xludf.DUMMYFUNCTION("""COMPUTED_VALUE"""),"Model S P85+")</f>
        <v>Model S P85+</v>
      </c>
      <c r="D952">
        <f ca="1">IFERROR(__xludf.DUMMYFUNCTION("""COMPUTED_VALUE"""),58191)</f>
        <v>58191</v>
      </c>
      <c r="E952">
        <f ca="1">IFERROR(__xludf.DUMMYFUNCTION("""COMPUTED_VALUE"""),380)</f>
        <v>380</v>
      </c>
      <c r="F952">
        <v>395</v>
      </c>
      <c r="G952">
        <v>0.96202531645569622</v>
      </c>
      <c r="H952">
        <v>36158</v>
      </c>
      <c r="I952">
        <v>58191</v>
      </c>
      <c r="J952">
        <v>36158</v>
      </c>
      <c r="K952">
        <v>0.96321932601506399</v>
      </c>
      <c r="L952">
        <f t="shared" ca="1" si="93"/>
        <v>236.12098</v>
      </c>
      <c r="M952">
        <f t="shared" si="94"/>
        <v>245.44154499999999</v>
      </c>
      <c r="N952">
        <v>36158</v>
      </c>
      <c r="O952">
        <f t="shared" ca="1" si="89"/>
        <v>0.96202531645569622</v>
      </c>
    </row>
    <row r="953" spans="1:15" x14ac:dyDescent="0.2">
      <c r="A953" t="str">
        <f ca="1">IFERROR(__xludf.DUMMYFUNCTION("""COMPUTED_VALUE"""),"km")</f>
        <v>km</v>
      </c>
      <c r="B953" t="str">
        <f ca="1">IFERROR(__xludf.DUMMYFUNCTION("""COMPUTED_VALUE"""),"Model S 85")</f>
        <v>Model S 85</v>
      </c>
      <c r="D953">
        <f ca="1">IFERROR(__xludf.DUMMYFUNCTION("""COMPUTED_VALUE"""),74181)</f>
        <v>74181</v>
      </c>
      <c r="E953">
        <f ca="1">IFERROR(__xludf.DUMMYFUNCTION("""COMPUTED_VALUE"""),380)</f>
        <v>380</v>
      </c>
      <c r="F953">
        <v>395</v>
      </c>
      <c r="G953">
        <v>0.96202531645569622</v>
      </c>
      <c r="H953">
        <v>46094</v>
      </c>
      <c r="I953">
        <v>74181</v>
      </c>
      <c r="J953">
        <v>46094</v>
      </c>
      <c r="K953">
        <v>0.95422858839938396</v>
      </c>
      <c r="L953">
        <f t="shared" ca="1" si="93"/>
        <v>236.12098</v>
      </c>
      <c r="M953">
        <f t="shared" si="94"/>
        <v>245.44154499999999</v>
      </c>
      <c r="N953">
        <v>46094</v>
      </c>
      <c r="O953">
        <f t="shared" ca="1" si="89"/>
        <v>0.96202531645569622</v>
      </c>
    </row>
    <row r="954" spans="1:15" x14ac:dyDescent="0.2">
      <c r="A954" t="str">
        <f ca="1">IFERROR(__xludf.DUMMYFUNCTION("""COMPUTED_VALUE"""),"km")</f>
        <v>km</v>
      </c>
      <c r="B954" t="str">
        <f ca="1">IFERROR(__xludf.DUMMYFUNCTION("""COMPUTED_VALUE"""),"Model S P85+")</f>
        <v>Model S P85+</v>
      </c>
      <c r="C954">
        <f ca="1">IFERROR(__xludf.DUMMYFUNCTION("""COMPUTED_VALUE"""),400)</f>
        <v>400</v>
      </c>
      <c r="D954">
        <f ca="1">IFERROR(__xludf.DUMMYFUNCTION("""COMPUTED_VALUE"""),68900)</f>
        <v>68900</v>
      </c>
      <c r="E954">
        <f ca="1">IFERROR(__xludf.DUMMYFUNCTION("""COMPUTED_VALUE"""),380)</f>
        <v>380</v>
      </c>
      <c r="F954">
        <v>395</v>
      </c>
      <c r="G954">
        <v>0.96202531645569622</v>
      </c>
      <c r="H954">
        <v>42812</v>
      </c>
      <c r="I954">
        <v>68900</v>
      </c>
      <c r="J954">
        <v>42812</v>
      </c>
      <c r="K954">
        <v>0.95714334154870628</v>
      </c>
      <c r="L954">
        <f t="shared" ca="1" si="93"/>
        <v>236.12098</v>
      </c>
      <c r="M954">
        <f t="shared" si="94"/>
        <v>245.44154499999999</v>
      </c>
      <c r="N954">
        <v>42812</v>
      </c>
      <c r="O954">
        <f t="shared" ca="1" si="89"/>
        <v>0.96202531645569622</v>
      </c>
    </row>
    <row r="955" spans="1:15" x14ac:dyDescent="0.2">
      <c r="A955" t="str">
        <f ca="1">IFERROR(__xludf.DUMMYFUNCTION("""COMPUTED_VALUE"""),"km")</f>
        <v>km</v>
      </c>
      <c r="B955" t="str">
        <f ca="1">IFERROR(__xludf.DUMMYFUNCTION("""COMPUTED_VALUE"""),"Model S 85")</f>
        <v>Model S 85</v>
      </c>
      <c r="D955">
        <f ca="1">IFERROR(__xludf.DUMMYFUNCTION("""COMPUTED_VALUE"""),100315)</f>
        <v>100315</v>
      </c>
      <c r="E955">
        <f ca="1">IFERROR(__xludf.DUMMYFUNCTION("""COMPUTED_VALUE"""),380)</f>
        <v>380</v>
      </c>
      <c r="F955">
        <v>395</v>
      </c>
      <c r="G955">
        <v>0.96202531645569622</v>
      </c>
      <c r="H955">
        <v>62333</v>
      </c>
      <c r="I955">
        <v>100315</v>
      </c>
      <c r="J955">
        <v>62333</v>
      </c>
      <c r="K955">
        <v>0.9406099005634575</v>
      </c>
      <c r="L955">
        <f t="shared" ca="1" si="93"/>
        <v>236.12098</v>
      </c>
      <c r="M955">
        <f t="shared" si="94"/>
        <v>245.44154499999999</v>
      </c>
      <c r="N955">
        <v>62333</v>
      </c>
      <c r="O955">
        <f t="shared" ca="1" si="89"/>
        <v>0.96202531645569622</v>
      </c>
    </row>
    <row r="956" spans="1:15" x14ac:dyDescent="0.2">
      <c r="A956" t="str">
        <f ca="1">IFERROR(__xludf.DUMMYFUNCTION("""COMPUTED_VALUE"""),"km")</f>
        <v>km</v>
      </c>
      <c r="B956" t="str">
        <f ca="1">IFERROR(__xludf.DUMMYFUNCTION("""COMPUTED_VALUE"""),"Model S 85")</f>
        <v>Model S 85</v>
      </c>
      <c r="D956">
        <f ca="1">IFERROR(__xludf.DUMMYFUNCTION("""COMPUTED_VALUE"""),62000)</f>
        <v>62000</v>
      </c>
      <c r="E956">
        <f ca="1">IFERROR(__xludf.DUMMYFUNCTION("""COMPUTED_VALUE"""),380)</f>
        <v>380</v>
      </c>
      <c r="F956">
        <v>395</v>
      </c>
      <c r="G956">
        <v>0.96202531645569622</v>
      </c>
      <c r="H956">
        <v>38525</v>
      </c>
      <c r="I956">
        <v>62000</v>
      </c>
      <c r="J956">
        <v>38525</v>
      </c>
      <c r="K956">
        <v>0.96103294603845657</v>
      </c>
      <c r="L956">
        <f t="shared" ca="1" si="93"/>
        <v>236.12098</v>
      </c>
      <c r="M956">
        <f t="shared" si="94"/>
        <v>245.44154499999999</v>
      </c>
      <c r="N956">
        <v>38525</v>
      </c>
      <c r="O956">
        <f t="shared" ca="1" si="89"/>
        <v>0.96202531645569622</v>
      </c>
    </row>
    <row r="957" spans="1:15" x14ac:dyDescent="0.2">
      <c r="A957" t="str">
        <f ca="1">IFERROR(__xludf.DUMMYFUNCTION("""COMPUTED_VALUE"""),"km")</f>
        <v>km</v>
      </c>
      <c r="B957" t="str">
        <f ca="1">IFERROR(__xludf.DUMMYFUNCTION("""COMPUTED_VALUE"""),"Model S 85")</f>
        <v>Model S 85</v>
      </c>
      <c r="C957">
        <f ca="1">IFERROR(__xludf.DUMMYFUNCTION("""COMPUTED_VALUE"""),398)</f>
        <v>398</v>
      </c>
      <c r="D957">
        <f ca="1">IFERROR(__xludf.DUMMYFUNCTION("""COMPUTED_VALUE"""),172871)</f>
        <v>172871</v>
      </c>
      <c r="E957">
        <f ca="1">IFERROR(__xludf.DUMMYFUNCTION("""COMPUTED_VALUE"""),380)</f>
        <v>380</v>
      </c>
      <c r="F957">
        <v>395</v>
      </c>
      <c r="G957">
        <v>0.96202531645569622</v>
      </c>
      <c r="H957">
        <v>107417</v>
      </c>
      <c r="I957">
        <v>172871</v>
      </c>
      <c r="J957">
        <v>107417</v>
      </c>
      <c r="K957">
        <v>0.91010942843129539</v>
      </c>
      <c r="L957">
        <f t="shared" ca="1" si="93"/>
        <v>236.12098</v>
      </c>
      <c r="M957">
        <f t="shared" si="94"/>
        <v>245.44154499999999</v>
      </c>
      <c r="N957">
        <v>107417</v>
      </c>
      <c r="O957">
        <f t="shared" ca="1" si="89"/>
        <v>0.96202531645569622</v>
      </c>
    </row>
    <row r="958" spans="1:15" x14ac:dyDescent="0.2">
      <c r="A958" t="str">
        <f ca="1">IFERROR(__xludf.DUMMYFUNCTION("""COMPUTED_VALUE"""),"km")</f>
        <v>km</v>
      </c>
      <c r="B958" t="str">
        <f ca="1">IFERROR(__xludf.DUMMYFUNCTION("""COMPUTED_VALUE"""),"Model S 85")</f>
        <v>Model S 85</v>
      </c>
      <c r="D958">
        <f ca="1">IFERROR(__xludf.DUMMYFUNCTION("""COMPUTED_VALUE"""),95393)</f>
        <v>95393</v>
      </c>
      <c r="E958">
        <f ca="1">IFERROR(__xludf.DUMMYFUNCTION("""COMPUTED_VALUE"""),380)</f>
        <v>380</v>
      </c>
      <c r="F958">
        <v>395</v>
      </c>
      <c r="G958">
        <v>0.96202531645569622</v>
      </c>
      <c r="H958">
        <v>59274</v>
      </c>
      <c r="I958">
        <v>95393</v>
      </c>
      <c r="J958">
        <v>59274</v>
      </c>
      <c r="K958">
        <v>0.9430713376822063</v>
      </c>
      <c r="L958">
        <f t="shared" ca="1" si="93"/>
        <v>236.12098</v>
      </c>
      <c r="M958">
        <f t="shared" si="94"/>
        <v>245.44154499999999</v>
      </c>
      <c r="N958">
        <v>59274</v>
      </c>
      <c r="O958">
        <f t="shared" ca="1" si="89"/>
        <v>0.96202531645569622</v>
      </c>
    </row>
    <row r="959" spans="1:15" x14ac:dyDescent="0.2">
      <c r="A959" t="str">
        <f ca="1">IFERROR(__xludf.DUMMYFUNCTION("""COMPUTED_VALUE"""),"km")</f>
        <v>km</v>
      </c>
      <c r="B959" t="str">
        <f ca="1">IFERROR(__xludf.DUMMYFUNCTION("""COMPUTED_VALUE"""),"Model S 85")</f>
        <v>Model S 85</v>
      </c>
      <c r="D959">
        <f ca="1">IFERROR(__xludf.DUMMYFUNCTION("""COMPUTED_VALUE"""),93406)</f>
        <v>93406</v>
      </c>
      <c r="E959">
        <f ca="1">IFERROR(__xludf.DUMMYFUNCTION("""COMPUTED_VALUE"""),380)</f>
        <v>380</v>
      </c>
      <c r="F959">
        <v>395</v>
      </c>
      <c r="G959">
        <v>0.96202531645569622</v>
      </c>
      <c r="H959">
        <v>58040</v>
      </c>
      <c r="I959">
        <v>93406</v>
      </c>
      <c r="J959">
        <v>58040</v>
      </c>
      <c r="K959">
        <v>0.94407871789485087</v>
      </c>
      <c r="L959">
        <f t="shared" ca="1" si="93"/>
        <v>236.12098</v>
      </c>
      <c r="M959">
        <f t="shared" si="94"/>
        <v>245.44154499999999</v>
      </c>
      <c r="N959">
        <v>58040</v>
      </c>
      <c r="O959">
        <f t="shared" ca="1" si="89"/>
        <v>0.96202531645569622</v>
      </c>
    </row>
    <row r="960" spans="1:15" x14ac:dyDescent="0.2">
      <c r="A960" t="str">
        <f ca="1">IFERROR(__xludf.DUMMYFUNCTION("""COMPUTED_VALUE"""),"km")</f>
        <v>km</v>
      </c>
      <c r="B960" t="str">
        <f ca="1">IFERROR(__xludf.DUMMYFUNCTION("""COMPUTED_VALUE"""),"Model S P85+")</f>
        <v>Model S P85+</v>
      </c>
      <c r="C960">
        <f ca="1">IFERROR(__xludf.DUMMYFUNCTION("""COMPUTED_VALUE"""),400)</f>
        <v>400</v>
      </c>
      <c r="D960">
        <f ca="1">IFERROR(__xludf.DUMMYFUNCTION("""COMPUTED_VALUE"""),59750)</f>
        <v>59750</v>
      </c>
      <c r="E960">
        <f ca="1">IFERROR(__xludf.DUMMYFUNCTION("""COMPUTED_VALUE"""),380)</f>
        <v>380</v>
      </c>
      <c r="F960">
        <v>395</v>
      </c>
      <c r="G960">
        <v>0.96202531645569622</v>
      </c>
      <c r="H960">
        <v>37127</v>
      </c>
      <c r="I960">
        <v>59750</v>
      </c>
      <c r="J960">
        <v>37127</v>
      </c>
      <c r="K960">
        <v>0.96232109451098191</v>
      </c>
      <c r="L960">
        <f t="shared" ca="1" si="93"/>
        <v>236.12098</v>
      </c>
      <c r="M960">
        <f t="shared" si="94"/>
        <v>245.44154499999999</v>
      </c>
      <c r="N960">
        <v>37127</v>
      </c>
      <c r="O960">
        <f t="shared" ca="1" si="89"/>
        <v>0.96202531645569622</v>
      </c>
    </row>
    <row r="961" spans="1:15" x14ac:dyDescent="0.2">
      <c r="A961" t="str">
        <f ca="1">IFERROR(__xludf.DUMMYFUNCTION("""COMPUTED_VALUE"""),"km")</f>
        <v>km</v>
      </c>
      <c r="B961" t="str">
        <f ca="1">IFERROR(__xludf.DUMMYFUNCTION("""COMPUTED_VALUE"""),"Model S 85")</f>
        <v>Model S 85</v>
      </c>
      <c r="D961">
        <f ca="1">IFERROR(__xludf.DUMMYFUNCTION("""COMPUTED_VALUE"""),136267)</f>
        <v>136267</v>
      </c>
      <c r="E961">
        <f ca="1">IFERROR(__xludf.DUMMYFUNCTION("""COMPUTED_VALUE"""),380)</f>
        <v>380</v>
      </c>
      <c r="F961">
        <v>395</v>
      </c>
      <c r="G961">
        <v>0.96202531645569622</v>
      </c>
      <c r="H961">
        <v>84672</v>
      </c>
      <c r="I961">
        <v>136267</v>
      </c>
      <c r="J961">
        <v>84672</v>
      </c>
      <c r="K961">
        <v>0.92412165972656157</v>
      </c>
      <c r="L961">
        <f t="shared" ca="1" si="93"/>
        <v>236.12098</v>
      </c>
      <c r="M961">
        <f t="shared" si="94"/>
        <v>245.44154499999999</v>
      </c>
      <c r="N961">
        <v>84672</v>
      </c>
      <c r="O961">
        <f t="shared" ca="1" si="89"/>
        <v>0.96202531645569622</v>
      </c>
    </row>
    <row r="962" spans="1:15" x14ac:dyDescent="0.2">
      <c r="A962" t="str">
        <f ca="1">IFERROR(__xludf.DUMMYFUNCTION("""COMPUTED_VALUE"""),"km")</f>
        <v>km</v>
      </c>
      <c r="B962" t="str">
        <f ca="1">IFERROR(__xludf.DUMMYFUNCTION("""COMPUTED_VALUE"""),"Model S 85")</f>
        <v>Model S 85</v>
      </c>
      <c r="D962">
        <f ca="1">IFERROR(__xludf.DUMMYFUNCTION("""COMPUTED_VALUE"""),133442)</f>
        <v>133442</v>
      </c>
      <c r="E962">
        <f ca="1">IFERROR(__xludf.DUMMYFUNCTION("""COMPUTED_VALUE"""),380)</f>
        <v>380</v>
      </c>
      <c r="F962">
        <v>395</v>
      </c>
      <c r="G962">
        <v>0.96202531645569622</v>
      </c>
      <c r="H962">
        <v>82917</v>
      </c>
      <c r="I962">
        <v>133442</v>
      </c>
      <c r="J962">
        <v>82917</v>
      </c>
      <c r="K962">
        <v>0.92532093021278072</v>
      </c>
      <c r="L962">
        <f t="shared" ca="1" si="93"/>
        <v>236.12098</v>
      </c>
      <c r="M962">
        <f t="shared" si="94"/>
        <v>245.44154499999999</v>
      </c>
      <c r="N962">
        <v>82917</v>
      </c>
      <c r="O962">
        <f t="shared" ref="O962:O1025" ca="1" si="95">L962/M962</f>
        <v>0.96202531645569622</v>
      </c>
    </row>
    <row r="963" spans="1:15" x14ac:dyDescent="0.2">
      <c r="A963" t="str">
        <f ca="1">IFERROR(__xludf.DUMMYFUNCTION("""COMPUTED_VALUE"""),"km")</f>
        <v>km</v>
      </c>
      <c r="B963" t="str">
        <f ca="1">IFERROR(__xludf.DUMMYFUNCTION("""COMPUTED_VALUE"""),"Model S P85+")</f>
        <v>Model S P85+</v>
      </c>
      <c r="C963">
        <f ca="1">IFERROR(__xludf.DUMMYFUNCTION("""COMPUTED_VALUE"""),400)</f>
        <v>400</v>
      </c>
      <c r="D963">
        <f ca="1">IFERROR(__xludf.DUMMYFUNCTION("""COMPUTED_VALUE"""),52500)</f>
        <v>52500</v>
      </c>
      <c r="E963">
        <f ca="1">IFERROR(__xludf.DUMMYFUNCTION("""COMPUTED_VALUE"""),380)</f>
        <v>380</v>
      </c>
      <c r="F963">
        <v>395</v>
      </c>
      <c r="G963">
        <v>0.96202531645569622</v>
      </c>
      <c r="H963">
        <v>32622</v>
      </c>
      <c r="I963">
        <v>52500</v>
      </c>
      <c r="J963">
        <v>32622</v>
      </c>
      <c r="K963">
        <v>0.96653762303016721</v>
      </c>
      <c r="L963">
        <f t="shared" ca="1" si="93"/>
        <v>236.12098</v>
      </c>
      <c r="M963">
        <f t="shared" si="94"/>
        <v>245.44154499999999</v>
      </c>
      <c r="N963">
        <v>32622</v>
      </c>
      <c r="O963">
        <f t="shared" ca="1" si="95"/>
        <v>0.96202531645569622</v>
      </c>
    </row>
    <row r="964" spans="1:15" x14ac:dyDescent="0.2">
      <c r="A964" t="str">
        <f ca="1">IFERROR(__xludf.DUMMYFUNCTION("""COMPUTED_VALUE"""),"km")</f>
        <v>km</v>
      </c>
      <c r="B964" t="str">
        <f ca="1">IFERROR(__xludf.DUMMYFUNCTION("""COMPUTED_VALUE"""),"Model S 85")</f>
        <v>Model S 85</v>
      </c>
      <c r="D964">
        <f ca="1">IFERROR(__xludf.DUMMYFUNCTION("""COMPUTED_VALUE"""),51000)</f>
        <v>51000</v>
      </c>
      <c r="E964">
        <f ca="1">IFERROR(__xludf.DUMMYFUNCTION("""COMPUTED_VALUE"""),380)</f>
        <v>380</v>
      </c>
      <c r="F964">
        <v>395</v>
      </c>
      <c r="G964">
        <v>0.96202531645569622</v>
      </c>
      <c r="H964">
        <v>31690</v>
      </c>
      <c r="I964">
        <v>51000</v>
      </c>
      <c r="J964">
        <v>31690</v>
      </c>
      <c r="K964">
        <v>0.96742250045921963</v>
      </c>
      <c r="L964">
        <f t="shared" ca="1" si="93"/>
        <v>236.12098</v>
      </c>
      <c r="M964">
        <f t="shared" si="94"/>
        <v>245.44154499999999</v>
      </c>
      <c r="N964">
        <v>31690</v>
      </c>
      <c r="O964">
        <f t="shared" ca="1" si="95"/>
        <v>0.96202531645569622</v>
      </c>
    </row>
    <row r="965" spans="1:15" x14ac:dyDescent="0.2">
      <c r="A965" t="str">
        <f ca="1">IFERROR(__xludf.DUMMYFUNCTION("""COMPUTED_VALUE"""),"km")</f>
        <v>km</v>
      </c>
      <c r="B965" t="str">
        <f ca="1">IFERROR(__xludf.DUMMYFUNCTION("""COMPUTED_VALUE"""),"Model S 85")</f>
        <v>Model S 85</v>
      </c>
      <c r="C965">
        <f ca="1">IFERROR(__xludf.DUMMYFUNCTION("""COMPUTED_VALUE"""),411)</f>
        <v>411</v>
      </c>
      <c r="D965">
        <f ca="1">IFERROR(__xludf.DUMMYFUNCTION("""COMPUTED_VALUE"""),48623)</f>
        <v>48623</v>
      </c>
      <c r="E965">
        <f ca="1">IFERROR(__xludf.DUMMYFUNCTION("""COMPUTED_VALUE"""),380)</f>
        <v>380</v>
      </c>
      <c r="F965">
        <v>395</v>
      </c>
      <c r="G965">
        <v>0.96202531645569622</v>
      </c>
      <c r="H965">
        <v>30213</v>
      </c>
      <c r="I965">
        <v>48623</v>
      </c>
      <c r="J965">
        <v>30213</v>
      </c>
      <c r="K965">
        <v>0.96883347067582881</v>
      </c>
      <c r="L965">
        <f t="shared" ca="1" si="93"/>
        <v>236.12098</v>
      </c>
      <c r="M965">
        <f t="shared" si="94"/>
        <v>245.44154499999999</v>
      </c>
      <c r="N965">
        <v>30213</v>
      </c>
      <c r="O965">
        <f t="shared" ca="1" si="95"/>
        <v>0.96202531645569622</v>
      </c>
    </row>
    <row r="966" spans="1:15" x14ac:dyDescent="0.2">
      <c r="A966" t="str">
        <f ca="1">IFERROR(__xludf.DUMMYFUNCTION("""COMPUTED_VALUE"""),"km")</f>
        <v>km</v>
      </c>
      <c r="B966" t="str">
        <f ca="1">IFERROR(__xludf.DUMMYFUNCTION("""COMPUTED_VALUE"""),"Model S 85")</f>
        <v>Model S 85</v>
      </c>
      <c r="C966">
        <f ca="1">IFERROR(__xludf.DUMMYFUNCTION("""COMPUTED_VALUE"""),393)</f>
        <v>393</v>
      </c>
      <c r="D966">
        <f ca="1">IFERROR(__xludf.DUMMYFUNCTION("""COMPUTED_VALUE"""),59060)</f>
        <v>59060</v>
      </c>
      <c r="E966">
        <f ca="1">IFERROR(__xludf.DUMMYFUNCTION("""COMPUTED_VALUE"""),380)</f>
        <v>380</v>
      </c>
      <c r="F966">
        <v>395</v>
      </c>
      <c r="G966">
        <v>0.96202531645569622</v>
      </c>
      <c r="H966">
        <v>36698</v>
      </c>
      <c r="I966">
        <v>59060</v>
      </c>
      <c r="J966">
        <v>36698</v>
      </c>
      <c r="K966">
        <v>0.96271807037617751</v>
      </c>
      <c r="L966">
        <f t="shared" ca="1" si="93"/>
        <v>236.12098</v>
      </c>
      <c r="M966">
        <f t="shared" si="94"/>
        <v>245.44154499999999</v>
      </c>
      <c r="N966">
        <v>36698</v>
      </c>
      <c r="O966">
        <f t="shared" ca="1" si="95"/>
        <v>0.96202531645569622</v>
      </c>
    </row>
    <row r="967" spans="1:15" x14ac:dyDescent="0.2">
      <c r="A967" t="str">
        <f ca="1">IFERROR(__xludf.DUMMYFUNCTION("""COMPUTED_VALUE"""),"km")</f>
        <v>km</v>
      </c>
      <c r="B967" t="str">
        <f ca="1">IFERROR(__xludf.DUMMYFUNCTION("""COMPUTED_VALUE"""),"Model S 85")</f>
        <v>Model S 85</v>
      </c>
      <c r="D967">
        <f ca="1">IFERROR(__xludf.DUMMYFUNCTION("""COMPUTED_VALUE"""),19308)</f>
        <v>19308</v>
      </c>
      <c r="E967">
        <f ca="1">IFERROR(__xludf.DUMMYFUNCTION("""COMPUTED_VALUE"""),380)</f>
        <v>380</v>
      </c>
      <c r="F967">
        <v>395</v>
      </c>
      <c r="G967">
        <v>0.96202531645569622</v>
      </c>
      <c r="H967">
        <v>11997</v>
      </c>
      <c r="I967">
        <v>19308</v>
      </c>
      <c r="J967">
        <v>11997</v>
      </c>
      <c r="K967">
        <v>0.98710422451473145</v>
      </c>
      <c r="L967">
        <f t="shared" ca="1" si="93"/>
        <v>236.12098</v>
      </c>
      <c r="M967">
        <f t="shared" si="94"/>
        <v>245.44154499999999</v>
      </c>
      <c r="N967">
        <v>11997</v>
      </c>
      <c r="O967">
        <f t="shared" ca="1" si="95"/>
        <v>0.96202531645569622</v>
      </c>
    </row>
    <row r="968" spans="1:15" x14ac:dyDescent="0.2">
      <c r="A968" t="str">
        <f ca="1">IFERROR(__xludf.DUMMYFUNCTION("""COMPUTED_VALUE"""),"km")</f>
        <v>km</v>
      </c>
      <c r="B968" t="str">
        <f ca="1">IFERROR(__xludf.DUMMYFUNCTION("""COMPUTED_VALUE"""),"Model S 85")</f>
        <v>Model S 85</v>
      </c>
      <c r="D968">
        <f ca="1">IFERROR(__xludf.DUMMYFUNCTION("""COMPUTED_VALUE"""),36800)</f>
        <v>36800</v>
      </c>
      <c r="E968">
        <f ca="1">IFERROR(__xludf.DUMMYFUNCTION("""COMPUTED_VALUE"""),380)</f>
        <v>380</v>
      </c>
      <c r="F968">
        <v>395</v>
      </c>
      <c r="G968">
        <v>0.96202531645569622</v>
      </c>
      <c r="H968">
        <v>22866</v>
      </c>
      <c r="I968">
        <v>36800</v>
      </c>
      <c r="J968">
        <v>22866</v>
      </c>
      <c r="K968">
        <v>0.97600969798435511</v>
      </c>
      <c r="L968">
        <f t="shared" ca="1" si="93"/>
        <v>236.12098</v>
      </c>
      <c r="M968">
        <f t="shared" si="94"/>
        <v>245.44154499999999</v>
      </c>
      <c r="N968">
        <v>22866</v>
      </c>
      <c r="O968">
        <f t="shared" ca="1" si="95"/>
        <v>0.96202531645569622</v>
      </c>
    </row>
    <row r="969" spans="1:15" x14ac:dyDescent="0.2">
      <c r="A969" t="str">
        <f ca="1">IFERROR(__xludf.DUMMYFUNCTION("""COMPUTED_VALUE"""),"km")</f>
        <v>km</v>
      </c>
      <c r="B969" t="str">
        <f ca="1">IFERROR(__xludf.DUMMYFUNCTION("""COMPUTED_VALUE"""),"Model S P85")</f>
        <v>Model S P85</v>
      </c>
      <c r="D969">
        <f ca="1">IFERROR(__xludf.DUMMYFUNCTION("""COMPUTED_VALUE"""),100000)</f>
        <v>100000</v>
      </c>
      <c r="E969">
        <f ca="1">IFERROR(__xludf.DUMMYFUNCTION("""COMPUTED_VALUE"""),380)</f>
        <v>380</v>
      </c>
      <c r="F969">
        <v>395</v>
      </c>
      <c r="G969">
        <v>0.96202531645569622</v>
      </c>
      <c r="H969">
        <v>62137</v>
      </c>
      <c r="I969">
        <v>100000</v>
      </c>
      <c r="J969">
        <v>62137</v>
      </c>
      <c r="K969">
        <v>0.94076597629758174</v>
      </c>
      <c r="L969">
        <f t="shared" ca="1" si="93"/>
        <v>236.12098</v>
      </c>
      <c r="M969">
        <f t="shared" si="94"/>
        <v>245.44154499999999</v>
      </c>
      <c r="N969">
        <v>62137</v>
      </c>
      <c r="O969">
        <f t="shared" ca="1" si="95"/>
        <v>0.96202531645569622</v>
      </c>
    </row>
    <row r="970" spans="1:15" x14ac:dyDescent="0.2">
      <c r="A970" t="str">
        <f ca="1">IFERROR(__xludf.DUMMYFUNCTION("""COMPUTED_VALUE"""),"km")</f>
        <v>km</v>
      </c>
      <c r="B970" t="str">
        <f ca="1">IFERROR(__xludf.DUMMYFUNCTION("""COMPUTED_VALUE"""),"Model S 85")</f>
        <v>Model S 85</v>
      </c>
      <c r="D970">
        <f ca="1">IFERROR(__xludf.DUMMYFUNCTION("""COMPUTED_VALUE"""),37042)</f>
        <v>37042</v>
      </c>
      <c r="E970">
        <f ca="1">IFERROR(__xludf.DUMMYFUNCTION("""COMPUTED_VALUE"""),380)</f>
        <v>380</v>
      </c>
      <c r="F970">
        <v>395</v>
      </c>
      <c r="G970">
        <v>0.96202531645569622</v>
      </c>
      <c r="H970">
        <v>23017</v>
      </c>
      <c r="I970">
        <v>37042</v>
      </c>
      <c r="J970">
        <v>23017</v>
      </c>
      <c r="K970">
        <v>0.97586018418077503</v>
      </c>
      <c r="L970">
        <f t="shared" ca="1" si="93"/>
        <v>236.12098</v>
      </c>
      <c r="M970">
        <f t="shared" si="94"/>
        <v>245.44154499999999</v>
      </c>
      <c r="N970">
        <v>23017</v>
      </c>
      <c r="O970">
        <f t="shared" ca="1" si="95"/>
        <v>0.96202531645569622</v>
      </c>
    </row>
    <row r="971" spans="1:15" x14ac:dyDescent="0.2">
      <c r="A971" t="str">
        <f ca="1">IFERROR(__xludf.DUMMYFUNCTION("""COMPUTED_VALUE"""),"km")</f>
        <v>km</v>
      </c>
      <c r="B971" t="str">
        <f ca="1">IFERROR(__xludf.DUMMYFUNCTION("""COMPUTED_VALUE"""),"Model S 85")</f>
        <v>Model S 85</v>
      </c>
      <c r="D971">
        <f ca="1">IFERROR(__xludf.DUMMYFUNCTION("""COMPUTED_VALUE"""),30100)</f>
        <v>30100</v>
      </c>
      <c r="E971">
        <f ca="1">IFERROR(__xludf.DUMMYFUNCTION("""COMPUTED_VALUE"""),380)</f>
        <v>380</v>
      </c>
      <c r="F971">
        <v>395</v>
      </c>
      <c r="G971">
        <v>0.96202531645569622</v>
      </c>
      <c r="H971">
        <v>18703</v>
      </c>
      <c r="I971">
        <v>30100</v>
      </c>
      <c r="J971">
        <v>18703</v>
      </c>
      <c r="K971">
        <v>0.98019241616275288</v>
      </c>
      <c r="L971">
        <f t="shared" ca="1" si="93"/>
        <v>236.12098</v>
      </c>
      <c r="M971">
        <f t="shared" si="94"/>
        <v>245.44154499999999</v>
      </c>
      <c r="N971">
        <v>18703</v>
      </c>
      <c r="O971">
        <f t="shared" ca="1" si="95"/>
        <v>0.96202531645569622</v>
      </c>
    </row>
    <row r="972" spans="1:15" x14ac:dyDescent="0.2">
      <c r="A972" t="str">
        <f ca="1">IFERROR(__xludf.DUMMYFUNCTION("""COMPUTED_VALUE"""),"km")</f>
        <v>km</v>
      </c>
      <c r="B972" t="str">
        <f ca="1">IFERROR(__xludf.DUMMYFUNCTION("""COMPUTED_VALUE"""),"Unspecified 85 kWh")</f>
        <v>Unspecified 85 kWh</v>
      </c>
      <c r="D972">
        <f ca="1">IFERROR(__xludf.DUMMYFUNCTION("""COMPUTED_VALUE"""),18000)</f>
        <v>18000</v>
      </c>
      <c r="E972">
        <f ca="1">IFERROR(__xludf.DUMMYFUNCTION("""COMPUTED_VALUE"""),380)</f>
        <v>380</v>
      </c>
      <c r="F972">
        <v>395</v>
      </c>
      <c r="G972">
        <v>0.96202531645569622</v>
      </c>
      <c r="H972">
        <v>11185</v>
      </c>
      <c r="I972">
        <v>18000</v>
      </c>
      <c r="J972">
        <v>11185</v>
      </c>
      <c r="K972">
        <v>0.98795646904438894</v>
      </c>
      <c r="L972">
        <f t="shared" ca="1" si="93"/>
        <v>236.12098</v>
      </c>
      <c r="M972">
        <f t="shared" si="94"/>
        <v>245.44154499999999</v>
      </c>
      <c r="N972">
        <v>11185</v>
      </c>
      <c r="O972">
        <f t="shared" ca="1" si="95"/>
        <v>0.96202531645569622</v>
      </c>
    </row>
    <row r="973" spans="1:15" x14ac:dyDescent="0.2">
      <c r="A973" t="str">
        <f ca="1">IFERROR(__xludf.DUMMYFUNCTION("""COMPUTED_VALUE"""),"km")</f>
        <v>km</v>
      </c>
      <c r="B973" t="str">
        <f ca="1">IFERROR(__xludf.DUMMYFUNCTION("""COMPUTED_VALUE"""),"Unspecified 85 kWh")</f>
        <v>Unspecified 85 kWh</v>
      </c>
      <c r="D973">
        <f ca="1">IFERROR(__xludf.DUMMYFUNCTION("""COMPUTED_VALUE"""),32080)</f>
        <v>32080</v>
      </c>
      <c r="E973">
        <f ca="1">IFERROR(__xludf.DUMMYFUNCTION("""COMPUTED_VALUE"""),380)</f>
        <v>380</v>
      </c>
      <c r="F973">
        <v>395</v>
      </c>
      <c r="G973">
        <v>0.96202531645569622</v>
      </c>
      <c r="H973">
        <v>19934</v>
      </c>
      <c r="I973">
        <v>32080</v>
      </c>
      <c r="J973">
        <v>19934</v>
      </c>
      <c r="K973">
        <v>0.97894764801728851</v>
      </c>
      <c r="L973">
        <f t="shared" ca="1" si="93"/>
        <v>236.12098</v>
      </c>
      <c r="M973">
        <f t="shared" si="94"/>
        <v>245.44154499999999</v>
      </c>
      <c r="N973">
        <v>19934</v>
      </c>
      <c r="O973">
        <f t="shared" ca="1" si="95"/>
        <v>0.96202531645569622</v>
      </c>
    </row>
    <row r="974" spans="1:15" x14ac:dyDescent="0.2">
      <c r="A974" t="str">
        <f ca="1">IFERROR(__xludf.DUMMYFUNCTION("""COMPUTED_VALUE"""),"km")</f>
        <v>km</v>
      </c>
      <c r="B974" t="str">
        <f ca="1">IFERROR(__xludf.DUMMYFUNCTION("""COMPUTED_VALUE"""),"Model S P85")</f>
        <v>Model S P85</v>
      </c>
      <c r="D974">
        <f ca="1">IFERROR(__xludf.DUMMYFUNCTION("""COMPUTED_VALUE"""),74500)</f>
        <v>74500</v>
      </c>
      <c r="E974">
        <f ca="1">IFERROR(__xludf.DUMMYFUNCTION("""COMPUTED_VALUE"""),380)</f>
        <v>380</v>
      </c>
      <c r="F974">
        <v>395</v>
      </c>
      <c r="G974">
        <v>0.96202531645569622</v>
      </c>
      <c r="H974">
        <v>46292</v>
      </c>
      <c r="I974">
        <v>74500</v>
      </c>
      <c r="J974">
        <v>46292</v>
      </c>
      <c r="K974">
        <v>0.95405425766939322</v>
      </c>
      <c r="L974">
        <f t="shared" ca="1" si="93"/>
        <v>236.12098</v>
      </c>
      <c r="M974">
        <f t="shared" si="94"/>
        <v>245.44154499999999</v>
      </c>
      <c r="N974">
        <v>46292</v>
      </c>
      <c r="O974">
        <f t="shared" ca="1" si="95"/>
        <v>0.96202531645569622</v>
      </c>
    </row>
    <row r="975" spans="1:15" x14ac:dyDescent="0.2">
      <c r="A975" t="str">
        <f ca="1">IFERROR(__xludf.DUMMYFUNCTION("""COMPUTED_VALUE"""),"km")</f>
        <v>km</v>
      </c>
      <c r="B975" t="str">
        <f ca="1">IFERROR(__xludf.DUMMYFUNCTION("""COMPUTED_VALUE"""),"Model S 85")</f>
        <v>Model S 85</v>
      </c>
      <c r="D975">
        <f ca="1">IFERROR(__xludf.DUMMYFUNCTION("""COMPUTED_VALUE"""),42000)</f>
        <v>42000</v>
      </c>
      <c r="E975">
        <f ca="1">IFERROR(__xludf.DUMMYFUNCTION("""COMPUTED_VALUE"""),380)</f>
        <v>380</v>
      </c>
      <c r="F975">
        <v>395</v>
      </c>
      <c r="G975">
        <v>0.96202531645569622</v>
      </c>
      <c r="H975">
        <v>26098</v>
      </c>
      <c r="I975">
        <v>42000</v>
      </c>
      <c r="J975">
        <v>26098</v>
      </c>
      <c r="K975">
        <v>0.97282110694070401</v>
      </c>
      <c r="L975">
        <f t="shared" ca="1" si="93"/>
        <v>236.12098</v>
      </c>
      <c r="M975">
        <f t="shared" si="94"/>
        <v>245.44154499999999</v>
      </c>
      <c r="N975">
        <v>26098</v>
      </c>
      <c r="O975">
        <f t="shared" ca="1" si="95"/>
        <v>0.96202531645569622</v>
      </c>
    </row>
    <row r="976" spans="1:15" x14ac:dyDescent="0.2">
      <c r="A976" t="str">
        <f ca="1">IFERROR(__xludf.DUMMYFUNCTION("""COMPUTED_VALUE"""),"km")</f>
        <v>km</v>
      </c>
      <c r="B976" t="str">
        <f ca="1">IFERROR(__xludf.DUMMYFUNCTION("""COMPUTED_VALUE"""),"Model S P85")</f>
        <v>Model S P85</v>
      </c>
      <c r="D976">
        <f ca="1">IFERROR(__xludf.DUMMYFUNCTION("""COMPUTED_VALUE"""),21500)</f>
        <v>21500</v>
      </c>
      <c r="E976">
        <f ca="1">IFERROR(__xludf.DUMMYFUNCTION("""COMPUTED_VALUE"""),380)</f>
        <v>380</v>
      </c>
      <c r="F976">
        <v>395</v>
      </c>
      <c r="G976">
        <v>0.96202531645569622</v>
      </c>
      <c r="H976">
        <v>13359</v>
      </c>
      <c r="I976">
        <v>21500</v>
      </c>
      <c r="J976">
        <v>13359</v>
      </c>
      <c r="K976">
        <v>0.98568301732205788</v>
      </c>
      <c r="L976">
        <f t="shared" ca="1" si="93"/>
        <v>236.12098</v>
      </c>
      <c r="M976">
        <f t="shared" si="94"/>
        <v>245.44154499999999</v>
      </c>
      <c r="N976">
        <v>13359</v>
      </c>
      <c r="O976">
        <f t="shared" ca="1" si="95"/>
        <v>0.96202531645569622</v>
      </c>
    </row>
    <row r="977" spans="1:15" x14ac:dyDescent="0.2">
      <c r="A977" t="str">
        <f ca="1">IFERROR(__xludf.DUMMYFUNCTION("""COMPUTED_VALUE"""),"km")</f>
        <v>km</v>
      </c>
      <c r="B977" t="str">
        <f ca="1">IFERROR(__xludf.DUMMYFUNCTION("""COMPUTED_VALUE"""),"Model S P85")</f>
        <v>Model S P85</v>
      </c>
      <c r="D977">
        <f ca="1">IFERROR(__xludf.DUMMYFUNCTION("""COMPUTED_VALUE"""),73353)</f>
        <v>73353</v>
      </c>
      <c r="E977">
        <f ca="1">IFERROR(__xludf.DUMMYFUNCTION("""COMPUTED_VALUE"""),380)</f>
        <v>380</v>
      </c>
      <c r="F977">
        <v>395</v>
      </c>
      <c r="G977">
        <v>0.96202531645569622</v>
      </c>
      <c r="H977">
        <v>45579</v>
      </c>
      <c r="I977">
        <v>73353</v>
      </c>
      <c r="J977">
        <v>45579</v>
      </c>
      <c r="K977">
        <v>0.95468200747025644</v>
      </c>
      <c r="L977">
        <f t="shared" ca="1" si="93"/>
        <v>236.12098</v>
      </c>
      <c r="M977">
        <f t="shared" si="94"/>
        <v>245.44154499999999</v>
      </c>
      <c r="N977">
        <v>45579</v>
      </c>
      <c r="O977">
        <f t="shared" ca="1" si="95"/>
        <v>0.96202531645569622</v>
      </c>
    </row>
    <row r="978" spans="1:15" x14ac:dyDescent="0.2">
      <c r="A978" t="str">
        <f ca="1">IFERROR(__xludf.DUMMYFUNCTION("""COMPUTED_VALUE"""),"km")</f>
        <v>km</v>
      </c>
      <c r="B978" t="str">
        <f ca="1">IFERROR(__xludf.DUMMYFUNCTION("""COMPUTED_VALUE"""),"Model S 85D")</f>
        <v>Model S 85D</v>
      </c>
      <c r="D978">
        <f ca="1">IFERROR(__xludf.DUMMYFUNCTION("""COMPUTED_VALUE"""),156512)</f>
        <v>156512</v>
      </c>
      <c r="E978">
        <f ca="1">IFERROR(__xludf.DUMMYFUNCTION("""COMPUTED_VALUE"""),409)</f>
        <v>409</v>
      </c>
      <c r="F978">
        <v>425</v>
      </c>
      <c r="G978">
        <v>0.96235294117647063</v>
      </c>
      <c r="H978">
        <v>97252</v>
      </c>
      <c r="I978">
        <v>156512</v>
      </c>
      <c r="J978">
        <v>97252</v>
      </c>
      <c r="K978">
        <v>0.91601829977377891</v>
      </c>
      <c r="L978">
        <f t="shared" ca="1" si="93"/>
        <v>254.140739</v>
      </c>
      <c r="M978">
        <f t="shared" si="94"/>
        <v>264.08267499999999</v>
      </c>
      <c r="N978">
        <v>97252</v>
      </c>
      <c r="O978">
        <f t="shared" ca="1" si="95"/>
        <v>0.96235294117647063</v>
      </c>
    </row>
    <row r="979" spans="1:15" x14ac:dyDescent="0.2">
      <c r="A979" t="str">
        <f ca="1">IFERROR(__xludf.DUMMYFUNCTION("""COMPUTED_VALUE"""),"km")</f>
        <v>km</v>
      </c>
      <c r="B979" t="str">
        <f ca="1">IFERROR(__xludf.DUMMYFUNCTION("""COMPUTED_VALUE"""),"Model S 85D")</f>
        <v>Model S 85D</v>
      </c>
      <c r="D979">
        <f ca="1">IFERROR(__xludf.DUMMYFUNCTION("""COMPUTED_VALUE"""),73450)</f>
        <v>73450</v>
      </c>
      <c r="E979">
        <f ca="1">IFERROR(__xludf.DUMMYFUNCTION("""COMPUTED_VALUE"""),409)</f>
        <v>409</v>
      </c>
      <c r="F979">
        <v>425</v>
      </c>
      <c r="G979">
        <v>0.96235294117647063</v>
      </c>
      <c r="H979">
        <v>45640</v>
      </c>
      <c r="I979">
        <v>73450</v>
      </c>
      <c r="J979">
        <v>45640</v>
      </c>
      <c r="K979">
        <v>0.95462882055656406</v>
      </c>
      <c r="L979">
        <f t="shared" ca="1" si="93"/>
        <v>254.140739</v>
      </c>
      <c r="M979">
        <f t="shared" si="94"/>
        <v>264.08267499999999</v>
      </c>
      <c r="N979">
        <v>45640</v>
      </c>
      <c r="O979">
        <f t="shared" ca="1" si="95"/>
        <v>0.96235294117647063</v>
      </c>
    </row>
    <row r="980" spans="1:15" x14ac:dyDescent="0.2">
      <c r="A980" t="str">
        <f ca="1">IFERROR(__xludf.DUMMYFUNCTION("""COMPUTED_VALUE"""),"km")</f>
        <v>km</v>
      </c>
      <c r="B980" t="str">
        <f ca="1">IFERROR(__xludf.DUMMYFUNCTION("""COMPUTED_VALUE"""),"Model S 85D")</f>
        <v>Model S 85D</v>
      </c>
      <c r="D980">
        <f ca="1">IFERROR(__xludf.DUMMYFUNCTION("""COMPUTED_VALUE"""),50600)</f>
        <v>50600</v>
      </c>
      <c r="E980">
        <f ca="1">IFERROR(__xludf.DUMMYFUNCTION("""COMPUTED_VALUE"""),409)</f>
        <v>409</v>
      </c>
      <c r="F980">
        <v>425</v>
      </c>
      <c r="G980">
        <v>0.96235294117647063</v>
      </c>
      <c r="H980">
        <v>31441</v>
      </c>
      <c r="I980">
        <v>50600</v>
      </c>
      <c r="J980">
        <v>31441</v>
      </c>
      <c r="K980">
        <v>0.96765918863044786</v>
      </c>
      <c r="L980">
        <f t="shared" ca="1" si="93"/>
        <v>254.140739</v>
      </c>
      <c r="M980">
        <f t="shared" si="94"/>
        <v>264.08267499999999</v>
      </c>
      <c r="N980">
        <v>31441</v>
      </c>
      <c r="O980">
        <f t="shared" ca="1" si="95"/>
        <v>0.96235294117647063</v>
      </c>
    </row>
    <row r="981" spans="1:15" x14ac:dyDescent="0.2">
      <c r="A981" t="str">
        <f ca="1">IFERROR(__xludf.DUMMYFUNCTION("""COMPUTED_VALUE"""),"km")</f>
        <v>km</v>
      </c>
      <c r="B981" t="str">
        <f ca="1">IFERROR(__xludf.DUMMYFUNCTION("""COMPUTED_VALUE"""),"Model S 85D")</f>
        <v>Model S 85D</v>
      </c>
      <c r="D981">
        <f ca="1">IFERROR(__xludf.DUMMYFUNCTION("""COMPUTED_VALUE"""),39100)</f>
        <v>39100</v>
      </c>
      <c r="E981">
        <f ca="1">IFERROR(__xludf.DUMMYFUNCTION("""COMPUTED_VALUE"""),409)</f>
        <v>409</v>
      </c>
      <c r="F981">
        <v>425</v>
      </c>
      <c r="G981">
        <v>0.96235294117647063</v>
      </c>
      <c r="H981">
        <v>24296</v>
      </c>
      <c r="I981">
        <v>39100</v>
      </c>
      <c r="J981">
        <v>24296</v>
      </c>
      <c r="K981">
        <v>0.97459311924672143</v>
      </c>
      <c r="L981">
        <f t="shared" ca="1" si="93"/>
        <v>254.140739</v>
      </c>
      <c r="M981">
        <f t="shared" si="94"/>
        <v>264.08267499999999</v>
      </c>
      <c r="N981">
        <v>24296</v>
      </c>
      <c r="O981">
        <f t="shared" ca="1" si="95"/>
        <v>0.96235294117647063</v>
      </c>
    </row>
    <row r="982" spans="1:15" x14ac:dyDescent="0.2">
      <c r="A982" t="str">
        <f ca="1">IFERROR(__xludf.DUMMYFUNCTION("""COMPUTED_VALUE"""),"km")</f>
        <v>km</v>
      </c>
      <c r="B982" t="str">
        <f ca="1">IFERROR(__xludf.DUMMYFUNCTION("""COMPUTED_VALUE"""),"Model S 85D")</f>
        <v>Model S 85D</v>
      </c>
      <c r="C982">
        <f ca="1">IFERROR(__xludf.DUMMYFUNCTION("""COMPUTED_VALUE"""),403)</f>
        <v>403</v>
      </c>
      <c r="D982">
        <f ca="1">IFERROR(__xludf.DUMMYFUNCTION("""COMPUTED_VALUE"""),7400)</f>
        <v>7400</v>
      </c>
      <c r="E982">
        <f ca="1">IFERROR(__xludf.DUMMYFUNCTION("""COMPUTED_VALUE"""),409)</f>
        <v>409</v>
      </c>
      <c r="F982">
        <v>425</v>
      </c>
      <c r="G982">
        <v>0.96235294117647063</v>
      </c>
      <c r="H982">
        <v>4598</v>
      </c>
      <c r="I982">
        <v>7400</v>
      </c>
      <c r="J982">
        <v>4598</v>
      </c>
      <c r="K982">
        <v>0.99497790685449439</v>
      </c>
      <c r="L982">
        <f t="shared" ca="1" si="93"/>
        <v>254.140739</v>
      </c>
      <c r="M982">
        <f t="shared" si="94"/>
        <v>264.08267499999999</v>
      </c>
      <c r="N982">
        <v>4598</v>
      </c>
      <c r="O982">
        <f t="shared" ca="1" si="95"/>
        <v>0.96235294117647063</v>
      </c>
    </row>
    <row r="983" spans="1:15" x14ac:dyDescent="0.2">
      <c r="A983" t="str">
        <f ca="1">IFERROR(__xludf.DUMMYFUNCTION("""COMPUTED_VALUE"""),"mi")</f>
        <v>mi</v>
      </c>
      <c r="B983" t="str">
        <f ca="1">IFERROR(__xludf.DUMMYFUNCTION("""COMPUTED_VALUE"""),"Model S 85")</f>
        <v>Model S 85</v>
      </c>
      <c r="D983">
        <f ca="1">IFERROR(__xludf.DUMMYFUNCTION("""COMPUTED_VALUE"""),88024)</f>
        <v>88024</v>
      </c>
      <c r="E983">
        <f ca="1">IFERROR(__xludf.DUMMYFUNCTION("""COMPUTED_VALUE"""),256)</f>
        <v>256</v>
      </c>
      <c r="F983">
        <v>266</v>
      </c>
      <c r="G983">
        <v>0.96240601503759393</v>
      </c>
      <c r="H983">
        <v>88024</v>
      </c>
      <c r="I983">
        <v>141661</v>
      </c>
      <c r="J983">
        <v>88024</v>
      </c>
      <c r="K983">
        <v>0.92187814603581464</v>
      </c>
      <c r="L983">
        <f ca="1">IFERROR(__xludf.DUMMYFUNCTION("""COMPUTED_VALUE"""),256)</f>
        <v>256</v>
      </c>
      <c r="M983">
        <v>266</v>
      </c>
      <c r="N983">
        <v>88024</v>
      </c>
      <c r="O983">
        <f t="shared" ca="1" si="95"/>
        <v>0.96240601503759393</v>
      </c>
    </row>
    <row r="984" spans="1:15" x14ac:dyDescent="0.2">
      <c r="A984" t="str">
        <f ca="1">IFERROR(__xludf.DUMMYFUNCTION("""COMPUTED_VALUE"""),"mi")</f>
        <v>mi</v>
      </c>
      <c r="B984" t="str">
        <f ca="1">IFERROR(__xludf.DUMMYFUNCTION("""COMPUTED_VALUE"""),"Model S 85")</f>
        <v>Model S 85</v>
      </c>
      <c r="C984">
        <f ca="1">IFERROR(__xludf.DUMMYFUNCTION("""COMPUTED_VALUE"""),265)</f>
        <v>265</v>
      </c>
      <c r="D984">
        <f ca="1">IFERROR(__xludf.DUMMYFUNCTION("""COMPUTED_VALUE"""),95000)</f>
        <v>95000</v>
      </c>
      <c r="E984">
        <f ca="1">IFERROR(__xludf.DUMMYFUNCTION("""COMPUTED_VALUE"""),256)</f>
        <v>256</v>
      </c>
      <c r="F984">
        <v>266</v>
      </c>
      <c r="G984">
        <v>0.96240601503759393</v>
      </c>
      <c r="H984">
        <v>95000</v>
      </c>
      <c r="I984">
        <v>152888</v>
      </c>
      <c r="J984">
        <v>95000</v>
      </c>
      <c r="K984">
        <v>0.91740506126106225</v>
      </c>
      <c r="L984">
        <f ca="1">IFERROR(__xludf.DUMMYFUNCTION("""COMPUTED_VALUE"""),256)</f>
        <v>256</v>
      </c>
      <c r="M984">
        <v>266</v>
      </c>
      <c r="N984">
        <v>95000</v>
      </c>
      <c r="O984">
        <f t="shared" ca="1" si="95"/>
        <v>0.96240601503759393</v>
      </c>
    </row>
    <row r="985" spans="1:15" x14ac:dyDescent="0.2">
      <c r="A985" t="str">
        <f ca="1">IFERROR(__xludf.DUMMYFUNCTION("""COMPUTED_VALUE"""),"mi")</f>
        <v>mi</v>
      </c>
      <c r="B985" t="str">
        <f ca="1">IFERROR(__xludf.DUMMYFUNCTION("""COMPUTED_VALUE"""),"Model S 85")</f>
        <v>Model S 85</v>
      </c>
      <c r="C985">
        <f ca="1">IFERROR(__xludf.DUMMYFUNCTION("""COMPUTED_VALUE"""),265)</f>
        <v>265</v>
      </c>
      <c r="D985">
        <f ca="1">IFERROR(__xludf.DUMMYFUNCTION("""COMPUTED_VALUE"""),36967)</f>
        <v>36967</v>
      </c>
      <c r="E985">
        <f ca="1">IFERROR(__xludf.DUMMYFUNCTION("""COMPUTED_VALUE"""),256)</f>
        <v>256</v>
      </c>
      <c r="F985">
        <v>266</v>
      </c>
      <c r="G985">
        <v>0.96240601503759393</v>
      </c>
      <c r="H985">
        <v>36967</v>
      </c>
      <c r="I985">
        <v>59493</v>
      </c>
      <c r="J985">
        <v>36967</v>
      </c>
      <c r="K985">
        <v>0.96246884711681191</v>
      </c>
      <c r="L985">
        <f ca="1">IFERROR(__xludf.DUMMYFUNCTION("""COMPUTED_VALUE"""),256)</f>
        <v>256</v>
      </c>
      <c r="M985">
        <v>266</v>
      </c>
      <c r="N985">
        <v>36967</v>
      </c>
      <c r="O985">
        <f t="shared" ca="1" si="95"/>
        <v>0.96240601503759393</v>
      </c>
    </row>
    <row r="986" spans="1:15" x14ac:dyDescent="0.2">
      <c r="A986" t="str">
        <f ca="1">IFERROR(__xludf.DUMMYFUNCTION("""COMPUTED_VALUE"""),"mi")</f>
        <v>mi</v>
      </c>
      <c r="B986" t="str">
        <f ca="1">IFERROR(__xludf.DUMMYFUNCTION("""COMPUTED_VALUE"""),"Model S P85")</f>
        <v>Model S P85</v>
      </c>
      <c r="D986">
        <f ca="1">IFERROR(__xludf.DUMMYFUNCTION("""COMPUTED_VALUE"""),35700)</f>
        <v>35700</v>
      </c>
      <c r="E986">
        <f ca="1">IFERROR(__xludf.DUMMYFUNCTION("""COMPUTED_VALUE"""),256)</f>
        <v>256</v>
      </c>
      <c r="F986">
        <v>266</v>
      </c>
      <c r="G986">
        <v>0.96240601503759393</v>
      </c>
      <c r="H986">
        <v>35700</v>
      </c>
      <c r="I986">
        <v>57454</v>
      </c>
      <c r="J986">
        <v>35700</v>
      </c>
      <c r="K986">
        <v>0.96364557300590925</v>
      </c>
      <c r="L986">
        <f ca="1">IFERROR(__xludf.DUMMYFUNCTION("""COMPUTED_VALUE"""),256)</f>
        <v>256</v>
      </c>
      <c r="M986">
        <v>266</v>
      </c>
      <c r="N986">
        <v>35700</v>
      </c>
      <c r="O986">
        <f t="shared" ca="1" si="95"/>
        <v>0.96240601503759393</v>
      </c>
    </row>
    <row r="987" spans="1:15" x14ac:dyDescent="0.2">
      <c r="A987" t="str">
        <f ca="1">IFERROR(__xludf.DUMMYFUNCTION("""COMPUTED_VALUE"""),"mi")</f>
        <v>mi</v>
      </c>
      <c r="B987" t="str">
        <f ca="1">IFERROR(__xludf.DUMMYFUNCTION("""COMPUTED_VALUE"""),"Model S 85")</f>
        <v>Model S 85</v>
      </c>
      <c r="D987">
        <f ca="1">IFERROR(__xludf.DUMMYFUNCTION("""COMPUTED_VALUE"""),21000)</f>
        <v>21000</v>
      </c>
      <c r="E987">
        <f ca="1">IFERROR(__xludf.DUMMYFUNCTION("""COMPUTED_VALUE"""),256)</f>
        <v>256</v>
      </c>
      <c r="F987">
        <v>266</v>
      </c>
      <c r="G987">
        <v>0.96240601503759393</v>
      </c>
      <c r="H987">
        <v>21000</v>
      </c>
      <c r="I987">
        <v>33796</v>
      </c>
      <c r="J987">
        <v>21000</v>
      </c>
      <c r="K987">
        <v>0.97787473375835754</v>
      </c>
      <c r="L987">
        <f ca="1">IFERROR(__xludf.DUMMYFUNCTION("""COMPUTED_VALUE"""),256)</f>
        <v>256</v>
      </c>
      <c r="M987">
        <v>266</v>
      </c>
      <c r="N987">
        <v>21000</v>
      </c>
      <c r="O987">
        <f t="shared" ca="1" si="95"/>
        <v>0.96240601503759393</v>
      </c>
    </row>
    <row r="988" spans="1:15" x14ac:dyDescent="0.2">
      <c r="A988" t="str">
        <f ca="1">IFERROR(__xludf.DUMMYFUNCTION("""COMPUTED_VALUE"""),"km")</f>
        <v>km</v>
      </c>
      <c r="B988" t="str">
        <f ca="1">IFERROR(__xludf.DUMMYFUNCTION("""COMPUTED_VALUE"""),"Model S P85D")</f>
        <v>Model S P85D</v>
      </c>
      <c r="C988">
        <f ca="1">IFERROR(__xludf.DUMMYFUNCTION("""COMPUTED_VALUE"""),403)</f>
        <v>403</v>
      </c>
      <c r="D988">
        <f ca="1">IFERROR(__xludf.DUMMYFUNCTION("""COMPUTED_VALUE"""),51605)</f>
        <v>51605</v>
      </c>
      <c r="E988">
        <f ca="1">IFERROR(__xludf.DUMMYFUNCTION("""COMPUTED_VALUE"""),388)</f>
        <v>388</v>
      </c>
      <c r="F988">
        <v>403</v>
      </c>
      <c r="G988">
        <v>0.96277915632754341</v>
      </c>
      <c r="H988">
        <v>32066</v>
      </c>
      <c r="I988">
        <v>51605</v>
      </c>
      <c r="J988">
        <v>32066</v>
      </c>
      <c r="K988">
        <v>0.96706508611405217</v>
      </c>
      <c r="L988">
        <f t="shared" ref="L988:L997" ca="1" si="96">E988*0.621371</f>
        <v>241.091948</v>
      </c>
      <c r="M988">
        <f t="shared" ref="M988:M997" si="97">F988*0.621371</f>
        <v>250.41251299999999</v>
      </c>
      <c r="N988">
        <v>32066</v>
      </c>
      <c r="O988">
        <f t="shared" ca="1" si="95"/>
        <v>0.96277915632754352</v>
      </c>
    </row>
    <row r="989" spans="1:15" x14ac:dyDescent="0.2">
      <c r="A989" t="str">
        <f ca="1">IFERROR(__xludf.DUMMYFUNCTION("""COMPUTED_VALUE"""),"km")</f>
        <v>km</v>
      </c>
      <c r="B989" t="str">
        <f ca="1">IFERROR(__xludf.DUMMYFUNCTION("""COMPUTED_VALUE"""),"Model S P85D")</f>
        <v>Model S P85D</v>
      </c>
      <c r="C989">
        <f ca="1">IFERROR(__xludf.DUMMYFUNCTION("""COMPUTED_VALUE"""),406)</f>
        <v>406</v>
      </c>
      <c r="D989">
        <f ca="1">IFERROR(__xludf.DUMMYFUNCTION("""COMPUTED_VALUE"""),40014)</f>
        <v>40014</v>
      </c>
      <c r="E989">
        <f ca="1">IFERROR(__xludf.DUMMYFUNCTION("""COMPUTED_VALUE"""),388)</f>
        <v>388</v>
      </c>
      <c r="F989">
        <v>403</v>
      </c>
      <c r="G989">
        <v>0.96277915632754341</v>
      </c>
      <c r="H989">
        <v>24864</v>
      </c>
      <c r="I989">
        <v>40014</v>
      </c>
      <c r="J989">
        <v>24864</v>
      </c>
      <c r="K989">
        <v>0.97403292949651399</v>
      </c>
      <c r="L989">
        <f t="shared" ca="1" si="96"/>
        <v>241.091948</v>
      </c>
      <c r="M989">
        <f t="shared" si="97"/>
        <v>250.41251299999999</v>
      </c>
      <c r="N989">
        <v>24864</v>
      </c>
      <c r="O989">
        <f t="shared" ca="1" si="95"/>
        <v>0.96277915632754352</v>
      </c>
    </row>
    <row r="990" spans="1:15" x14ac:dyDescent="0.2">
      <c r="A990" t="str">
        <f ca="1">IFERROR(__xludf.DUMMYFUNCTION("""COMPUTED_VALUE"""),"km")</f>
        <v>km</v>
      </c>
      <c r="B990" t="str">
        <f ca="1">IFERROR(__xludf.DUMMYFUNCTION("""COMPUTED_VALUE"""),"Model S P85D")</f>
        <v>Model S P85D</v>
      </c>
      <c r="C990">
        <f ca="1">IFERROR(__xludf.DUMMYFUNCTION("""COMPUTED_VALUE"""),406)</f>
        <v>406</v>
      </c>
      <c r="D990">
        <f ca="1">IFERROR(__xludf.DUMMYFUNCTION("""COMPUTED_VALUE"""),15007)</f>
        <v>15007</v>
      </c>
      <c r="E990">
        <f ca="1">IFERROR(__xludf.DUMMYFUNCTION("""COMPUTED_VALUE"""),388)</f>
        <v>388</v>
      </c>
      <c r="F990">
        <v>403</v>
      </c>
      <c r="G990">
        <v>0.96277915632754341</v>
      </c>
      <c r="H990">
        <v>9325</v>
      </c>
      <c r="I990">
        <v>15007</v>
      </c>
      <c r="J990">
        <v>9325</v>
      </c>
      <c r="K990">
        <v>0.98991834590042382</v>
      </c>
      <c r="L990">
        <f t="shared" ca="1" si="96"/>
        <v>241.091948</v>
      </c>
      <c r="M990">
        <f t="shared" si="97"/>
        <v>250.41251299999999</v>
      </c>
      <c r="N990">
        <v>9325</v>
      </c>
      <c r="O990">
        <f t="shared" ca="1" si="95"/>
        <v>0.96277915632754352</v>
      </c>
    </row>
    <row r="991" spans="1:15" x14ac:dyDescent="0.2">
      <c r="A991" t="str">
        <f ca="1">IFERROR(__xludf.DUMMYFUNCTION("""COMPUTED_VALUE"""),"km")</f>
        <v>km</v>
      </c>
      <c r="B991" t="str">
        <f ca="1">IFERROR(__xludf.DUMMYFUNCTION("""COMPUTED_VALUE"""),"Model S P85D")</f>
        <v>Model S P85D</v>
      </c>
      <c r="C991">
        <f ca="1">IFERROR(__xludf.DUMMYFUNCTION("""COMPUTED_VALUE"""),406)</f>
        <v>406</v>
      </c>
      <c r="D991">
        <f ca="1">IFERROR(__xludf.DUMMYFUNCTION("""COMPUTED_VALUE"""),14775)</f>
        <v>14775</v>
      </c>
      <c r="E991">
        <f ca="1">IFERROR(__xludf.DUMMYFUNCTION("""COMPUTED_VALUE"""),388)</f>
        <v>388</v>
      </c>
      <c r="F991">
        <v>403</v>
      </c>
      <c r="G991">
        <v>0.96277915632754341</v>
      </c>
      <c r="H991">
        <v>9181</v>
      </c>
      <c r="I991">
        <v>14775</v>
      </c>
      <c r="J991">
        <v>9181</v>
      </c>
      <c r="K991">
        <v>0.99007110089292572</v>
      </c>
      <c r="L991">
        <f t="shared" ca="1" si="96"/>
        <v>241.091948</v>
      </c>
      <c r="M991">
        <f t="shared" si="97"/>
        <v>250.41251299999999</v>
      </c>
      <c r="N991">
        <v>9181</v>
      </c>
      <c r="O991">
        <f t="shared" ca="1" si="95"/>
        <v>0.96277915632754352</v>
      </c>
    </row>
    <row r="992" spans="1:15" x14ac:dyDescent="0.2">
      <c r="A992" t="str">
        <f ca="1">IFERROR(__xludf.DUMMYFUNCTION("""COMPUTED_VALUE"""),"km")</f>
        <v>km</v>
      </c>
      <c r="B992" t="str">
        <f ca="1">IFERROR(__xludf.DUMMYFUNCTION("""COMPUTED_VALUE"""),"Model X 75D")</f>
        <v>Model X 75D</v>
      </c>
      <c r="C992">
        <f ca="1">IFERROR(__xludf.DUMMYFUNCTION("""COMPUTED_VALUE"""),334)</f>
        <v>334</v>
      </c>
      <c r="D992">
        <f ca="1">IFERROR(__xludf.DUMMYFUNCTION("""COMPUTED_VALUE"""),24748)</f>
        <v>24748</v>
      </c>
      <c r="E992">
        <f ca="1">IFERROR(__xludf.DUMMYFUNCTION("""COMPUTED_VALUE"""),317)</f>
        <v>317</v>
      </c>
      <c r="F992">
        <v>329</v>
      </c>
      <c r="G992">
        <v>0.96352583586626139</v>
      </c>
      <c r="H992">
        <v>15378</v>
      </c>
      <c r="I992">
        <v>24748</v>
      </c>
      <c r="J992">
        <v>15378</v>
      </c>
      <c r="K992">
        <v>0.98359334779408392</v>
      </c>
      <c r="L992">
        <f t="shared" ca="1" si="96"/>
        <v>196.97460699999999</v>
      </c>
      <c r="M992">
        <f t="shared" si="97"/>
        <v>204.431059</v>
      </c>
      <c r="N992">
        <v>15378</v>
      </c>
      <c r="O992">
        <f t="shared" ca="1" si="95"/>
        <v>0.96352583586626128</v>
      </c>
    </row>
    <row r="993" spans="1:15" x14ac:dyDescent="0.2">
      <c r="A993" t="str">
        <f ca="1">IFERROR(__xludf.DUMMYFUNCTION("""COMPUTED_VALUE"""),"km")</f>
        <v>km</v>
      </c>
      <c r="B993" t="str">
        <f ca="1">IFERROR(__xludf.DUMMYFUNCTION("""COMPUTED_VALUE"""),"Model S 75D")</f>
        <v>Model S 75D</v>
      </c>
      <c r="C993">
        <f ca="1">IFERROR(__xludf.DUMMYFUNCTION("""COMPUTED_VALUE"""),386)</f>
        <v>386</v>
      </c>
      <c r="D993">
        <f ca="1">IFERROR(__xludf.DUMMYFUNCTION("""COMPUTED_VALUE"""),26765)</f>
        <v>26765</v>
      </c>
      <c r="E993">
        <f ca="1">IFERROR(__xludf.DUMMYFUNCTION("""COMPUTED_VALUE"""),370)</f>
        <v>370</v>
      </c>
      <c r="F993">
        <v>384</v>
      </c>
      <c r="G993">
        <v>0.96354166666666663</v>
      </c>
      <c r="H993">
        <v>16631</v>
      </c>
      <c r="I993">
        <v>26765</v>
      </c>
      <c r="J993">
        <v>16631</v>
      </c>
      <c r="K993">
        <v>0.98230543632567779</v>
      </c>
      <c r="L993">
        <f t="shared" ca="1" si="96"/>
        <v>229.90727000000001</v>
      </c>
      <c r="M993">
        <f t="shared" si="97"/>
        <v>238.60646400000002</v>
      </c>
      <c r="N993">
        <v>16631</v>
      </c>
      <c r="O993">
        <f t="shared" ca="1" si="95"/>
        <v>0.96354166666666663</v>
      </c>
    </row>
    <row r="994" spans="1:15" x14ac:dyDescent="0.2">
      <c r="A994" t="str">
        <f ca="1">IFERROR(__xludf.DUMMYFUNCTION("""COMPUTED_VALUE"""),"km")</f>
        <v>km</v>
      </c>
      <c r="B994" t="str">
        <f ca="1">IFERROR(__xludf.DUMMYFUNCTION("""COMPUTED_VALUE"""),"Model S 75D")</f>
        <v>Model S 75D</v>
      </c>
      <c r="C994">
        <f ca="1">IFERROR(__xludf.DUMMYFUNCTION("""COMPUTED_VALUE"""),386)</f>
        <v>386</v>
      </c>
      <c r="D994">
        <f ca="1">IFERROR(__xludf.DUMMYFUNCTION("""COMPUTED_VALUE"""),45770)</f>
        <v>45770</v>
      </c>
      <c r="E994">
        <f ca="1">IFERROR(__xludf.DUMMYFUNCTION("""COMPUTED_VALUE"""),370)</f>
        <v>370</v>
      </c>
      <c r="F994">
        <v>384</v>
      </c>
      <c r="G994">
        <v>0.96354166666666663</v>
      </c>
      <c r="H994">
        <v>28440</v>
      </c>
      <c r="I994">
        <v>45770</v>
      </c>
      <c r="J994">
        <v>28440</v>
      </c>
      <c r="K994">
        <v>0.97054109722859083</v>
      </c>
      <c r="L994">
        <f t="shared" ca="1" si="96"/>
        <v>229.90727000000001</v>
      </c>
      <c r="M994">
        <f t="shared" si="97"/>
        <v>238.60646400000002</v>
      </c>
      <c r="N994">
        <v>28440</v>
      </c>
      <c r="O994">
        <f t="shared" ca="1" si="95"/>
        <v>0.96354166666666663</v>
      </c>
    </row>
    <row r="995" spans="1:15" x14ac:dyDescent="0.2">
      <c r="A995" t="str">
        <f ca="1">IFERROR(__xludf.DUMMYFUNCTION("""COMPUTED_VALUE"""),"km")</f>
        <v>km</v>
      </c>
      <c r="B995" t="str">
        <f ca="1">IFERROR(__xludf.DUMMYFUNCTION("""COMPUTED_VALUE"""),"Model S 75D")</f>
        <v>Model S 75D</v>
      </c>
      <c r="C995">
        <f ca="1">IFERROR(__xludf.DUMMYFUNCTION("""COMPUTED_VALUE"""),386)</f>
        <v>386</v>
      </c>
      <c r="D995">
        <f ca="1">IFERROR(__xludf.DUMMYFUNCTION("""COMPUTED_VALUE"""),45770)</f>
        <v>45770</v>
      </c>
      <c r="E995">
        <f ca="1">IFERROR(__xludf.DUMMYFUNCTION("""COMPUTED_VALUE"""),370)</f>
        <v>370</v>
      </c>
      <c r="F995">
        <v>384</v>
      </c>
      <c r="G995">
        <v>0.96354166666666663</v>
      </c>
      <c r="H995">
        <v>28440</v>
      </c>
      <c r="I995">
        <v>45770</v>
      </c>
      <c r="J995">
        <v>28440</v>
      </c>
      <c r="K995">
        <v>0.97054109722859083</v>
      </c>
      <c r="L995">
        <f t="shared" ca="1" si="96"/>
        <v>229.90727000000001</v>
      </c>
      <c r="M995">
        <f t="shared" si="97"/>
        <v>238.60646400000002</v>
      </c>
      <c r="N995">
        <v>28440</v>
      </c>
      <c r="O995">
        <f t="shared" ca="1" si="95"/>
        <v>0.96354166666666663</v>
      </c>
    </row>
    <row r="996" spans="1:15" x14ac:dyDescent="0.2">
      <c r="A996" t="str">
        <f ca="1">IFERROR(__xludf.DUMMYFUNCTION("""COMPUTED_VALUE"""),"km")</f>
        <v>km</v>
      </c>
      <c r="B996" t="str">
        <f ca="1">IFERROR(__xludf.DUMMYFUNCTION("""COMPUTED_VALUE"""),"Model S 75D")</f>
        <v>Model S 75D</v>
      </c>
      <c r="D996">
        <f ca="1">IFERROR(__xludf.DUMMYFUNCTION("""COMPUTED_VALUE"""),25000)</f>
        <v>25000</v>
      </c>
      <c r="E996">
        <f ca="1">IFERROR(__xludf.DUMMYFUNCTION("""COMPUTED_VALUE"""),370)</f>
        <v>370</v>
      </c>
      <c r="F996">
        <v>384</v>
      </c>
      <c r="G996">
        <v>0.96354166666666663</v>
      </c>
      <c r="H996">
        <v>15534</v>
      </c>
      <c r="I996">
        <v>25000</v>
      </c>
      <c r="J996">
        <v>15534</v>
      </c>
      <c r="K996">
        <v>0.98343202901163917</v>
      </c>
      <c r="L996">
        <f t="shared" ca="1" si="96"/>
        <v>229.90727000000001</v>
      </c>
      <c r="M996">
        <f t="shared" si="97"/>
        <v>238.60646400000002</v>
      </c>
      <c r="N996">
        <v>15534</v>
      </c>
      <c r="O996">
        <f t="shared" ca="1" si="95"/>
        <v>0.96354166666666663</v>
      </c>
    </row>
    <row r="997" spans="1:15" x14ac:dyDescent="0.2">
      <c r="A997" t="str">
        <f ca="1">IFERROR(__xludf.DUMMYFUNCTION("""COMPUTED_VALUE"""),"km")</f>
        <v>km</v>
      </c>
      <c r="B997" t="str">
        <f ca="1">IFERROR(__xludf.DUMMYFUNCTION("""COMPUTED_VALUE"""),"Model S 70D")</f>
        <v>Model S 70D</v>
      </c>
      <c r="C997">
        <f ca="1">IFERROR(__xludf.DUMMYFUNCTION("""COMPUTED_VALUE"""),360)</f>
        <v>360</v>
      </c>
      <c r="D997">
        <f ca="1">IFERROR(__xludf.DUMMYFUNCTION("""COMPUTED_VALUE"""),112335)</f>
        <v>112335</v>
      </c>
      <c r="E997">
        <f ca="1">IFERROR(__xludf.DUMMYFUNCTION("""COMPUTED_VALUE"""),347)</f>
        <v>347</v>
      </c>
      <c r="F997">
        <v>360</v>
      </c>
      <c r="G997">
        <v>0.96388888888888891</v>
      </c>
      <c r="H997">
        <v>69802</v>
      </c>
      <c r="I997">
        <v>112335</v>
      </c>
      <c r="J997">
        <v>69802</v>
      </c>
      <c r="K997">
        <v>0.9348035762956135</v>
      </c>
      <c r="L997">
        <f t="shared" ca="1" si="96"/>
        <v>215.615737</v>
      </c>
      <c r="M997">
        <f t="shared" si="97"/>
        <v>223.69355999999999</v>
      </c>
      <c r="N997">
        <v>69802</v>
      </c>
      <c r="O997">
        <f t="shared" ca="1" si="95"/>
        <v>0.96388888888888891</v>
      </c>
    </row>
    <row r="998" spans="1:15" x14ac:dyDescent="0.2">
      <c r="A998" t="str">
        <f ca="1">IFERROR(__xludf.DUMMYFUNCTION("""COMPUTED_VALUE"""),"mi")</f>
        <v>mi</v>
      </c>
      <c r="B998" t="str">
        <f ca="1">IFERROR(__xludf.DUMMYFUNCTION("""COMPUTED_VALUE"""),"Model S 90D 2015")</f>
        <v>Model S 90D 2015</v>
      </c>
      <c r="D998">
        <f ca="1">IFERROR(__xludf.DUMMYFUNCTION("""COMPUTED_VALUE"""),10780)</f>
        <v>10780</v>
      </c>
      <c r="E998">
        <f ca="1">IFERROR(__xludf.DUMMYFUNCTION("""COMPUTED_VALUE"""),267)</f>
        <v>267</v>
      </c>
      <c r="F998">
        <v>277</v>
      </c>
      <c r="G998">
        <v>0.96389891696750907</v>
      </c>
      <c r="H998">
        <v>10780</v>
      </c>
      <c r="I998">
        <v>17349</v>
      </c>
      <c r="J998">
        <v>10780</v>
      </c>
      <c r="K998">
        <v>0.98838180156857114</v>
      </c>
      <c r="L998">
        <f ca="1">IFERROR(__xludf.DUMMYFUNCTION("""COMPUTED_VALUE"""),267)</f>
        <v>267</v>
      </c>
      <c r="M998">
        <v>277</v>
      </c>
      <c r="N998">
        <v>10780</v>
      </c>
      <c r="O998">
        <f t="shared" ca="1" si="95"/>
        <v>0.96389891696750907</v>
      </c>
    </row>
    <row r="999" spans="1:15" x14ac:dyDescent="0.2">
      <c r="A999" t="str">
        <f ca="1">IFERROR(__xludf.DUMMYFUNCTION("""COMPUTED_VALUE"""),"km")</f>
        <v>km</v>
      </c>
      <c r="B999" t="str">
        <f ca="1">IFERROR(__xludf.DUMMYFUNCTION("""COMPUTED_VALUE"""),"Model S 90D")</f>
        <v>Model S 90D</v>
      </c>
      <c r="D999">
        <f ca="1">IFERROR(__xludf.DUMMYFUNCTION("""COMPUTED_VALUE"""),25500)</f>
        <v>25500</v>
      </c>
      <c r="E999">
        <f ca="1">IFERROR(__xludf.DUMMYFUNCTION("""COMPUTED_VALUE"""),431)</f>
        <v>431</v>
      </c>
      <c r="F999">
        <v>447</v>
      </c>
      <c r="G999">
        <v>0.96420581655480986</v>
      </c>
      <c r="H999">
        <v>15845</v>
      </c>
      <c r="I999">
        <v>25500</v>
      </c>
      <c r="J999">
        <v>15845</v>
      </c>
      <c r="K999">
        <v>0.98311229821161061</v>
      </c>
      <c r="L999">
        <f t="shared" ref="L999:M1004" ca="1" si="98">E999*0.621371</f>
        <v>267.810901</v>
      </c>
      <c r="M999">
        <f t="shared" si="98"/>
        <v>277.752837</v>
      </c>
      <c r="N999">
        <v>15845</v>
      </c>
      <c r="O999">
        <f t="shared" ca="1" si="95"/>
        <v>0.96420581655480986</v>
      </c>
    </row>
    <row r="1000" spans="1:15" x14ac:dyDescent="0.2">
      <c r="A1000" t="str">
        <f ca="1">IFERROR(__xludf.DUMMYFUNCTION("""COMPUTED_VALUE"""),"km")</f>
        <v>km</v>
      </c>
      <c r="B1000" t="str">
        <f ca="1">IFERROR(__xludf.DUMMYFUNCTION("""COMPUTED_VALUE"""),"Model S 90D")</f>
        <v>Model S 90D</v>
      </c>
      <c r="C1000">
        <f ca="1">IFERROR(__xludf.DUMMYFUNCTION("""COMPUTED_VALUE"""),448)</f>
        <v>448</v>
      </c>
      <c r="D1000">
        <f ca="1">IFERROR(__xludf.DUMMYFUNCTION("""COMPUTED_VALUE"""),51364)</f>
        <v>51364</v>
      </c>
      <c r="E1000">
        <f ca="1">IFERROR(__xludf.DUMMYFUNCTION("""COMPUTED_VALUE"""),431)</f>
        <v>431</v>
      </c>
      <c r="F1000">
        <v>447</v>
      </c>
      <c r="G1000">
        <v>0.96420581655480986</v>
      </c>
      <c r="H1000">
        <v>31916</v>
      </c>
      <c r="I1000">
        <v>51364</v>
      </c>
      <c r="J1000">
        <v>31916</v>
      </c>
      <c r="K1000">
        <v>0.96720737788289335</v>
      </c>
      <c r="L1000">
        <f t="shared" ca="1" si="98"/>
        <v>267.810901</v>
      </c>
      <c r="M1000">
        <f t="shared" si="98"/>
        <v>277.752837</v>
      </c>
      <c r="N1000">
        <v>31916</v>
      </c>
      <c r="O1000">
        <f t="shared" ca="1" si="95"/>
        <v>0.96420581655480986</v>
      </c>
    </row>
    <row r="1001" spans="1:15" x14ac:dyDescent="0.2">
      <c r="A1001" t="str">
        <f ca="1">IFERROR(__xludf.DUMMYFUNCTION("""COMPUTED_VALUE"""),"km")</f>
        <v>km</v>
      </c>
      <c r="B1001" t="str">
        <f ca="1">IFERROR(__xludf.DUMMYFUNCTION("""COMPUTED_VALUE"""),"Model S 90D")</f>
        <v>Model S 90D</v>
      </c>
      <c r="C1001">
        <f ca="1">IFERROR(__xludf.DUMMYFUNCTION("""COMPUTED_VALUE"""),446)</f>
        <v>446</v>
      </c>
      <c r="D1001">
        <f ca="1">IFERROR(__xludf.DUMMYFUNCTION("""COMPUTED_VALUE"""),51342)</f>
        <v>51342</v>
      </c>
      <c r="E1001">
        <f ca="1">IFERROR(__xludf.DUMMYFUNCTION("""COMPUTED_VALUE"""),431)</f>
        <v>431</v>
      </c>
      <c r="F1001">
        <v>447</v>
      </c>
      <c r="G1001">
        <v>0.96420581655480986</v>
      </c>
      <c r="H1001">
        <v>31902</v>
      </c>
      <c r="I1001">
        <v>51342</v>
      </c>
      <c r="J1001">
        <v>31902</v>
      </c>
      <c r="K1001">
        <v>0.96722037266142946</v>
      </c>
      <c r="L1001">
        <f t="shared" ca="1" si="98"/>
        <v>267.810901</v>
      </c>
      <c r="M1001">
        <f t="shared" si="98"/>
        <v>277.752837</v>
      </c>
      <c r="N1001">
        <v>31902</v>
      </c>
      <c r="O1001">
        <f t="shared" ca="1" si="95"/>
        <v>0.96420581655480986</v>
      </c>
    </row>
    <row r="1002" spans="1:15" x14ac:dyDescent="0.2">
      <c r="A1002" t="str">
        <f ca="1">IFERROR(__xludf.DUMMYFUNCTION("""COMPUTED_VALUE"""),"km")</f>
        <v>km</v>
      </c>
      <c r="B1002" t="str">
        <f ca="1">IFERROR(__xludf.DUMMYFUNCTION("""COMPUTED_VALUE"""),"Model S 90D")</f>
        <v>Model S 90D</v>
      </c>
      <c r="C1002">
        <f ca="1">IFERROR(__xludf.DUMMYFUNCTION("""COMPUTED_VALUE"""),448)</f>
        <v>448</v>
      </c>
      <c r="D1002">
        <f ca="1">IFERROR(__xludf.DUMMYFUNCTION("""COMPUTED_VALUE"""),30786)</f>
        <v>30786</v>
      </c>
      <c r="E1002">
        <f ca="1">IFERROR(__xludf.DUMMYFUNCTION("""COMPUTED_VALUE"""),431)</f>
        <v>431</v>
      </c>
      <c r="F1002">
        <v>447</v>
      </c>
      <c r="G1002">
        <v>0.96420581655480986</v>
      </c>
      <c r="H1002">
        <v>19130</v>
      </c>
      <c r="I1002">
        <v>30786</v>
      </c>
      <c r="J1002">
        <v>19130</v>
      </c>
      <c r="K1002">
        <v>0.97976032529865276</v>
      </c>
      <c r="L1002">
        <f t="shared" ca="1" si="98"/>
        <v>267.810901</v>
      </c>
      <c r="M1002">
        <f t="shared" si="98"/>
        <v>277.752837</v>
      </c>
      <c r="N1002">
        <v>19130</v>
      </c>
      <c r="O1002">
        <f t="shared" ca="1" si="95"/>
        <v>0.96420581655480986</v>
      </c>
    </row>
    <row r="1003" spans="1:15" x14ac:dyDescent="0.2">
      <c r="A1003" t="str">
        <f ca="1">IFERROR(__xludf.DUMMYFUNCTION("""COMPUTED_VALUE"""),"km")</f>
        <v>km</v>
      </c>
      <c r="B1003" t="str">
        <f ca="1">IFERROR(__xludf.DUMMYFUNCTION("""COMPUTED_VALUE"""),"Model S 90D")</f>
        <v>Model S 90D</v>
      </c>
      <c r="C1003">
        <f ca="1">IFERROR(__xludf.DUMMYFUNCTION("""COMPUTED_VALUE"""),426)</f>
        <v>426</v>
      </c>
      <c r="D1003">
        <f ca="1">IFERROR(__xludf.DUMMYFUNCTION("""COMPUTED_VALUE"""),29890)</f>
        <v>29890</v>
      </c>
      <c r="E1003">
        <f ca="1">IFERROR(__xludf.DUMMYFUNCTION("""COMPUTED_VALUE"""),431)</f>
        <v>431</v>
      </c>
      <c r="F1003">
        <v>447</v>
      </c>
      <c r="G1003">
        <v>0.96420581655480986</v>
      </c>
      <c r="H1003">
        <v>18573</v>
      </c>
      <c r="I1003">
        <v>29890</v>
      </c>
      <c r="J1003">
        <v>18573</v>
      </c>
      <c r="K1003">
        <v>0.98032486311911637</v>
      </c>
      <c r="L1003">
        <f t="shared" ca="1" si="98"/>
        <v>267.810901</v>
      </c>
      <c r="M1003">
        <f t="shared" si="98"/>
        <v>277.752837</v>
      </c>
      <c r="N1003">
        <v>18573</v>
      </c>
      <c r="O1003">
        <f t="shared" ca="1" si="95"/>
        <v>0.96420581655480986</v>
      </c>
    </row>
    <row r="1004" spans="1:15" x14ac:dyDescent="0.2">
      <c r="A1004" t="str">
        <f ca="1">IFERROR(__xludf.DUMMYFUNCTION("""COMPUTED_VALUE"""),"km")</f>
        <v>km</v>
      </c>
      <c r="B1004" t="str">
        <f ca="1">IFERROR(__xludf.DUMMYFUNCTION("""COMPUTED_VALUE"""),"Model S 90")</f>
        <v>Model S 90</v>
      </c>
      <c r="C1004">
        <f ca="1">IFERROR(__xludf.DUMMYFUNCTION("""COMPUTED_VALUE"""),450)</f>
        <v>450</v>
      </c>
      <c r="D1004">
        <f ca="1">IFERROR(__xludf.DUMMYFUNCTION("""COMPUTED_VALUE"""),330)</f>
        <v>330</v>
      </c>
      <c r="E1004">
        <f ca="1">IFERROR(__xludf.DUMMYFUNCTION("""COMPUTED_VALUE"""),405)</f>
        <v>405</v>
      </c>
      <c r="F1004">
        <v>420</v>
      </c>
      <c r="G1004">
        <v>0.9642857142857143</v>
      </c>
      <c r="H1004">
        <v>205</v>
      </c>
      <c r="I1004">
        <v>330</v>
      </c>
      <c r="J1004">
        <v>205</v>
      </c>
      <c r="K1004">
        <v>0.99977394810041775</v>
      </c>
      <c r="L1004">
        <f t="shared" ca="1" si="98"/>
        <v>251.65525500000001</v>
      </c>
      <c r="M1004">
        <f t="shared" si="98"/>
        <v>260.97582</v>
      </c>
      <c r="N1004">
        <v>205</v>
      </c>
      <c r="O1004">
        <f t="shared" ca="1" si="95"/>
        <v>0.9642857142857143</v>
      </c>
    </row>
    <row r="1005" spans="1:15" x14ac:dyDescent="0.2">
      <c r="A1005" t="str">
        <f ca="1">IFERROR(__xludf.DUMMYFUNCTION("""COMPUTED_VALUE"""),"mi")</f>
        <v>mi</v>
      </c>
      <c r="B1005" t="str">
        <f ca="1">IFERROR(__xludf.DUMMYFUNCTION("""COMPUTED_VALUE"""),"Model S P85D")</f>
        <v>Model S P85D</v>
      </c>
      <c r="C1005">
        <f ca="1">IFERROR(__xludf.DUMMYFUNCTION("""COMPUTED_VALUE"""),253)</f>
        <v>253</v>
      </c>
      <c r="D1005">
        <f ca="1">IFERROR(__xludf.DUMMYFUNCTION("""COMPUTED_VALUE"""),19918)</f>
        <v>19918</v>
      </c>
      <c r="E1005">
        <f ca="1">IFERROR(__xludf.DUMMYFUNCTION("""COMPUTED_VALUE"""),244)</f>
        <v>244</v>
      </c>
      <c r="F1005">
        <v>253</v>
      </c>
      <c r="G1005">
        <v>0.96442687747035571</v>
      </c>
      <c r="H1005">
        <v>19918</v>
      </c>
      <c r="I1005">
        <v>32055</v>
      </c>
      <c r="J1005">
        <v>19918</v>
      </c>
      <c r="K1005">
        <v>0.97896331946751969</v>
      </c>
      <c r="L1005">
        <f ca="1">IFERROR(__xludf.DUMMYFUNCTION("""COMPUTED_VALUE"""),244)</f>
        <v>244</v>
      </c>
      <c r="M1005">
        <v>253</v>
      </c>
      <c r="N1005">
        <v>19918</v>
      </c>
      <c r="O1005">
        <f t="shared" ca="1" si="95"/>
        <v>0.96442687747035571</v>
      </c>
    </row>
    <row r="1006" spans="1:15" x14ac:dyDescent="0.2">
      <c r="A1006" t="str">
        <f ca="1">IFERROR(__xludf.DUMMYFUNCTION("""COMPUTED_VALUE"""),"km")</f>
        <v>km</v>
      </c>
      <c r="B1006" t="str">
        <f ca="1">IFERROR(__xludf.DUMMYFUNCTION("""COMPUTED_VALUE"""),"Model S 85")</f>
        <v>Model S 85</v>
      </c>
      <c r="C1006">
        <f ca="1">IFERROR(__xludf.DUMMYFUNCTION("""COMPUTED_VALUE"""),382)</f>
        <v>382</v>
      </c>
      <c r="D1006">
        <f ca="1">IFERROR(__xludf.DUMMYFUNCTION("""COMPUTED_VALUE"""),83529)</f>
        <v>83529</v>
      </c>
      <c r="E1006">
        <f ca="1">IFERROR(__xludf.DUMMYFUNCTION("""COMPUTED_VALUE"""),381)</f>
        <v>381</v>
      </c>
      <c r="F1006">
        <v>395</v>
      </c>
      <c r="G1006">
        <v>0.96455696202531649</v>
      </c>
      <c r="H1006">
        <v>51903</v>
      </c>
      <c r="I1006">
        <v>83529</v>
      </c>
      <c r="J1006">
        <v>51903</v>
      </c>
      <c r="K1006">
        <v>0.94920244559020084</v>
      </c>
      <c r="L1006">
        <f t="shared" ref="L1006:L1049" ca="1" si="99">E1006*0.621371</f>
        <v>236.74235100000001</v>
      </c>
      <c r="M1006">
        <f t="shared" ref="M1006:M1049" si="100">F1006*0.621371</f>
        <v>245.44154499999999</v>
      </c>
      <c r="N1006">
        <v>51903</v>
      </c>
      <c r="O1006">
        <f t="shared" ca="1" si="95"/>
        <v>0.9645569620253166</v>
      </c>
    </row>
    <row r="1007" spans="1:15" x14ac:dyDescent="0.2">
      <c r="A1007" t="str">
        <f ca="1">IFERROR(__xludf.DUMMYFUNCTION("""COMPUTED_VALUE"""),"km")</f>
        <v>km</v>
      </c>
      <c r="B1007" t="str">
        <f ca="1">IFERROR(__xludf.DUMMYFUNCTION("""COMPUTED_VALUE"""),"Model S 85")</f>
        <v>Model S 85</v>
      </c>
      <c r="C1007">
        <f ca="1">IFERROR(__xludf.DUMMYFUNCTION("""COMPUTED_VALUE"""),382)</f>
        <v>382</v>
      </c>
      <c r="D1007">
        <f ca="1">IFERROR(__xludf.DUMMYFUNCTION("""COMPUTED_VALUE"""),83529)</f>
        <v>83529</v>
      </c>
      <c r="E1007">
        <f ca="1">IFERROR(__xludf.DUMMYFUNCTION("""COMPUTED_VALUE"""),381)</f>
        <v>381</v>
      </c>
      <c r="F1007">
        <v>395</v>
      </c>
      <c r="G1007">
        <v>0.96455696202531649</v>
      </c>
      <c r="H1007">
        <v>51903</v>
      </c>
      <c r="I1007">
        <v>83529</v>
      </c>
      <c r="J1007">
        <v>51903</v>
      </c>
      <c r="K1007">
        <v>0.94920244559020084</v>
      </c>
      <c r="L1007">
        <f t="shared" ca="1" si="99"/>
        <v>236.74235100000001</v>
      </c>
      <c r="M1007">
        <f t="shared" si="100"/>
        <v>245.44154499999999</v>
      </c>
      <c r="N1007">
        <v>51903</v>
      </c>
      <c r="O1007">
        <f t="shared" ca="1" si="95"/>
        <v>0.9645569620253166</v>
      </c>
    </row>
    <row r="1008" spans="1:15" x14ac:dyDescent="0.2">
      <c r="A1008" t="str">
        <f ca="1">IFERROR(__xludf.DUMMYFUNCTION("""COMPUTED_VALUE"""),"km")</f>
        <v>km</v>
      </c>
      <c r="B1008" t="str">
        <f ca="1">IFERROR(__xludf.DUMMYFUNCTION("""COMPUTED_VALUE"""),"Model S 85")</f>
        <v>Model S 85</v>
      </c>
      <c r="D1008">
        <f ca="1">IFERROR(__xludf.DUMMYFUNCTION("""COMPUTED_VALUE"""),211130)</f>
        <v>211130</v>
      </c>
      <c r="E1008">
        <f ca="1">IFERROR(__xludf.DUMMYFUNCTION("""COMPUTED_VALUE"""),381)</f>
        <v>381</v>
      </c>
      <c r="F1008">
        <v>395</v>
      </c>
      <c r="G1008">
        <v>0.96455696202531649</v>
      </c>
      <c r="H1008">
        <v>131190</v>
      </c>
      <c r="I1008">
        <v>211130</v>
      </c>
      <c r="J1008">
        <v>131190</v>
      </c>
      <c r="K1008">
        <v>0.89858457955917692</v>
      </c>
      <c r="L1008">
        <f t="shared" ca="1" si="99"/>
        <v>236.74235100000001</v>
      </c>
      <c r="M1008">
        <f t="shared" si="100"/>
        <v>245.44154499999999</v>
      </c>
      <c r="N1008">
        <v>131190</v>
      </c>
      <c r="O1008">
        <f t="shared" ca="1" si="95"/>
        <v>0.9645569620253166</v>
      </c>
    </row>
    <row r="1009" spans="1:15" x14ac:dyDescent="0.2">
      <c r="A1009" t="str">
        <f ca="1">IFERROR(__xludf.DUMMYFUNCTION("""COMPUTED_VALUE"""),"km")</f>
        <v>km</v>
      </c>
      <c r="B1009" t="str">
        <f ca="1">IFERROR(__xludf.DUMMYFUNCTION("""COMPUTED_VALUE"""),"Model S 85")</f>
        <v>Model S 85</v>
      </c>
      <c r="D1009">
        <f ca="1">IFERROR(__xludf.DUMMYFUNCTION("""COMPUTED_VALUE"""),178000)</f>
        <v>178000</v>
      </c>
      <c r="E1009">
        <f ca="1">IFERROR(__xludf.DUMMYFUNCTION("""COMPUTED_VALUE"""),381)</f>
        <v>381</v>
      </c>
      <c r="F1009">
        <v>395</v>
      </c>
      <c r="G1009">
        <v>0.96455696202531649</v>
      </c>
      <c r="H1009">
        <v>110604</v>
      </c>
      <c r="I1009">
        <v>178000</v>
      </c>
      <c r="J1009">
        <v>110604</v>
      </c>
      <c r="K1009">
        <v>0.90837632417074088</v>
      </c>
      <c r="L1009">
        <f t="shared" ca="1" si="99"/>
        <v>236.74235100000001</v>
      </c>
      <c r="M1009">
        <f t="shared" si="100"/>
        <v>245.44154499999999</v>
      </c>
      <c r="N1009">
        <v>110604</v>
      </c>
      <c r="O1009">
        <f t="shared" ca="1" si="95"/>
        <v>0.9645569620253166</v>
      </c>
    </row>
    <row r="1010" spans="1:15" x14ac:dyDescent="0.2">
      <c r="A1010" t="str">
        <f ca="1">IFERROR(__xludf.DUMMYFUNCTION("""COMPUTED_VALUE"""),"km")</f>
        <v>km</v>
      </c>
      <c r="B1010" t="str">
        <f ca="1">IFERROR(__xludf.DUMMYFUNCTION("""COMPUTED_VALUE"""),"Model S P85")</f>
        <v>Model S P85</v>
      </c>
      <c r="C1010">
        <f ca="1">IFERROR(__xludf.DUMMYFUNCTION("""COMPUTED_VALUE"""),398)</f>
        <v>398</v>
      </c>
      <c r="D1010">
        <f ca="1">IFERROR(__xludf.DUMMYFUNCTION("""COMPUTED_VALUE"""),175896)</f>
        <v>175896</v>
      </c>
      <c r="E1010">
        <f ca="1">IFERROR(__xludf.DUMMYFUNCTION("""COMPUTED_VALUE"""),381)</f>
        <v>381</v>
      </c>
      <c r="F1010">
        <v>395</v>
      </c>
      <c r="G1010">
        <v>0.96455696202531649</v>
      </c>
      <c r="H1010">
        <v>109297</v>
      </c>
      <c r="I1010">
        <v>175896</v>
      </c>
      <c r="J1010">
        <v>109297</v>
      </c>
      <c r="K1010">
        <v>0.90908032083637402</v>
      </c>
      <c r="L1010">
        <f t="shared" ca="1" si="99"/>
        <v>236.74235100000001</v>
      </c>
      <c r="M1010">
        <f t="shared" si="100"/>
        <v>245.44154499999999</v>
      </c>
      <c r="N1010">
        <v>109297</v>
      </c>
      <c r="O1010">
        <f t="shared" ca="1" si="95"/>
        <v>0.9645569620253166</v>
      </c>
    </row>
    <row r="1011" spans="1:15" x14ac:dyDescent="0.2">
      <c r="A1011" t="str">
        <f ca="1">IFERROR(__xludf.DUMMYFUNCTION("""COMPUTED_VALUE"""),"km")</f>
        <v>km</v>
      </c>
      <c r="B1011" t="str">
        <f ca="1">IFERROR(__xludf.DUMMYFUNCTION("""COMPUTED_VALUE"""),"Model S 85")</f>
        <v>Model S 85</v>
      </c>
      <c r="D1011">
        <f ca="1">IFERROR(__xludf.DUMMYFUNCTION("""COMPUTED_VALUE"""),80240)</f>
        <v>80240</v>
      </c>
      <c r="E1011">
        <f ca="1">IFERROR(__xludf.DUMMYFUNCTION("""COMPUTED_VALUE"""),381)</f>
        <v>381</v>
      </c>
      <c r="F1011">
        <v>395</v>
      </c>
      <c r="G1011">
        <v>0.96455696202531649</v>
      </c>
      <c r="H1011">
        <v>49859</v>
      </c>
      <c r="I1011">
        <v>80240</v>
      </c>
      <c r="J1011">
        <v>49859</v>
      </c>
      <c r="K1011">
        <v>0.95095133237063911</v>
      </c>
      <c r="L1011">
        <f t="shared" ca="1" si="99"/>
        <v>236.74235100000001</v>
      </c>
      <c r="M1011">
        <f t="shared" si="100"/>
        <v>245.44154499999999</v>
      </c>
      <c r="N1011">
        <v>49859</v>
      </c>
      <c r="O1011">
        <f t="shared" ca="1" si="95"/>
        <v>0.9645569620253166</v>
      </c>
    </row>
    <row r="1012" spans="1:15" x14ac:dyDescent="0.2">
      <c r="A1012" t="str">
        <f ca="1">IFERROR(__xludf.DUMMYFUNCTION("""COMPUTED_VALUE"""),"km")</f>
        <v>km</v>
      </c>
      <c r="B1012" t="str">
        <f ca="1">IFERROR(__xludf.DUMMYFUNCTION("""COMPUTED_VALUE"""),"Model S 85")</f>
        <v>Model S 85</v>
      </c>
      <c r="D1012">
        <f ca="1">IFERROR(__xludf.DUMMYFUNCTION("""COMPUTED_VALUE"""),113000)</f>
        <v>113000</v>
      </c>
      <c r="E1012">
        <f ca="1">IFERROR(__xludf.DUMMYFUNCTION("""COMPUTED_VALUE"""),381)</f>
        <v>381</v>
      </c>
      <c r="F1012">
        <v>395</v>
      </c>
      <c r="G1012">
        <v>0.96455696202531649</v>
      </c>
      <c r="H1012">
        <v>70215</v>
      </c>
      <c r="I1012">
        <v>113000</v>
      </c>
      <c r="J1012">
        <v>70215</v>
      </c>
      <c r="K1012">
        <v>0.93449088232901856</v>
      </c>
      <c r="L1012">
        <f t="shared" ca="1" si="99"/>
        <v>236.74235100000001</v>
      </c>
      <c r="M1012">
        <f t="shared" si="100"/>
        <v>245.44154499999999</v>
      </c>
      <c r="N1012">
        <v>70215</v>
      </c>
      <c r="O1012">
        <f t="shared" ca="1" si="95"/>
        <v>0.9645569620253166</v>
      </c>
    </row>
    <row r="1013" spans="1:15" x14ac:dyDescent="0.2">
      <c r="A1013" t="str">
        <f ca="1">IFERROR(__xludf.DUMMYFUNCTION("""COMPUTED_VALUE"""),"km")</f>
        <v>km</v>
      </c>
      <c r="B1013" t="str">
        <f ca="1">IFERROR(__xludf.DUMMYFUNCTION("""COMPUTED_VALUE"""),"Model S P85")</f>
        <v>Model S P85</v>
      </c>
      <c r="D1013">
        <f ca="1">IFERROR(__xludf.DUMMYFUNCTION("""COMPUTED_VALUE"""),55300)</f>
        <v>55300</v>
      </c>
      <c r="E1013">
        <f ca="1">IFERROR(__xludf.DUMMYFUNCTION("""COMPUTED_VALUE"""),381)</f>
        <v>381</v>
      </c>
      <c r="F1013">
        <v>395</v>
      </c>
      <c r="G1013">
        <v>0.96455696202531649</v>
      </c>
      <c r="H1013">
        <v>34362</v>
      </c>
      <c r="I1013">
        <v>55300</v>
      </c>
      <c r="J1013">
        <v>34362</v>
      </c>
      <c r="K1013">
        <v>0.96489729205389174</v>
      </c>
      <c r="L1013">
        <f t="shared" ca="1" si="99"/>
        <v>236.74235100000001</v>
      </c>
      <c r="M1013">
        <f t="shared" si="100"/>
        <v>245.44154499999999</v>
      </c>
      <c r="N1013">
        <v>34362</v>
      </c>
      <c r="O1013">
        <f t="shared" ca="1" si="95"/>
        <v>0.9645569620253166</v>
      </c>
    </row>
    <row r="1014" spans="1:15" x14ac:dyDescent="0.2">
      <c r="A1014" t="str">
        <f ca="1">IFERROR(__xludf.DUMMYFUNCTION("""COMPUTED_VALUE"""),"km")</f>
        <v>km</v>
      </c>
      <c r="B1014" t="str">
        <f ca="1">IFERROR(__xludf.DUMMYFUNCTION("""COMPUTED_VALUE"""),"Model S P85")</f>
        <v>Model S P85</v>
      </c>
      <c r="D1014">
        <f ca="1">IFERROR(__xludf.DUMMYFUNCTION("""COMPUTED_VALUE"""),55071)</f>
        <v>55071</v>
      </c>
      <c r="E1014">
        <f ca="1">IFERROR(__xludf.DUMMYFUNCTION("""COMPUTED_VALUE"""),381)</f>
        <v>381</v>
      </c>
      <c r="F1014">
        <v>395</v>
      </c>
      <c r="G1014">
        <v>0.96455696202531649</v>
      </c>
      <c r="H1014">
        <v>34220</v>
      </c>
      <c r="I1014">
        <v>55071</v>
      </c>
      <c r="J1014">
        <v>34220</v>
      </c>
      <c r="K1014">
        <v>0.96503088740221099</v>
      </c>
      <c r="L1014">
        <f t="shared" ca="1" si="99"/>
        <v>236.74235100000001</v>
      </c>
      <c r="M1014">
        <f t="shared" si="100"/>
        <v>245.44154499999999</v>
      </c>
      <c r="N1014">
        <v>34220</v>
      </c>
      <c r="O1014">
        <f t="shared" ca="1" si="95"/>
        <v>0.9645569620253166</v>
      </c>
    </row>
    <row r="1015" spans="1:15" x14ac:dyDescent="0.2">
      <c r="A1015" t="str">
        <f ca="1">IFERROR(__xludf.DUMMYFUNCTION("""COMPUTED_VALUE"""),"km")</f>
        <v>km</v>
      </c>
      <c r="B1015" t="str">
        <f ca="1">IFERROR(__xludf.DUMMYFUNCTION("""COMPUTED_VALUE"""),"Model S 85")</f>
        <v>Model S 85</v>
      </c>
      <c r="D1015">
        <f ca="1">IFERROR(__xludf.DUMMYFUNCTION("""COMPUTED_VALUE"""),117145)</f>
        <v>117145</v>
      </c>
      <c r="E1015">
        <f ca="1">IFERROR(__xludf.DUMMYFUNCTION("""COMPUTED_VALUE"""),381)</f>
        <v>381</v>
      </c>
      <c r="F1015">
        <v>395</v>
      </c>
      <c r="G1015">
        <v>0.96455696202531649</v>
      </c>
      <c r="H1015">
        <v>72791</v>
      </c>
      <c r="I1015">
        <v>117145</v>
      </c>
      <c r="J1015">
        <v>72791</v>
      </c>
      <c r="K1015">
        <v>0.93256214295177509</v>
      </c>
      <c r="L1015">
        <f t="shared" ca="1" si="99"/>
        <v>236.74235100000001</v>
      </c>
      <c r="M1015">
        <f t="shared" si="100"/>
        <v>245.44154499999999</v>
      </c>
      <c r="N1015">
        <v>72791</v>
      </c>
      <c r="O1015">
        <f t="shared" ca="1" si="95"/>
        <v>0.9645569620253166</v>
      </c>
    </row>
    <row r="1016" spans="1:15" x14ac:dyDescent="0.2">
      <c r="A1016" t="str">
        <f ca="1">IFERROR(__xludf.DUMMYFUNCTION("""COMPUTED_VALUE"""),"km")</f>
        <v>km</v>
      </c>
      <c r="B1016" t="str">
        <f ca="1">IFERROR(__xludf.DUMMYFUNCTION("""COMPUTED_VALUE"""),"Model S 85")</f>
        <v>Model S 85</v>
      </c>
      <c r="D1016">
        <f ca="1">IFERROR(__xludf.DUMMYFUNCTION("""COMPUTED_VALUE"""),75443)</f>
        <v>75443</v>
      </c>
      <c r="E1016">
        <f ca="1">IFERROR(__xludf.DUMMYFUNCTION("""COMPUTED_VALUE"""),381)</f>
        <v>381</v>
      </c>
      <c r="F1016">
        <v>395</v>
      </c>
      <c r="G1016">
        <v>0.96455696202531649</v>
      </c>
      <c r="H1016">
        <v>46878</v>
      </c>
      <c r="I1016">
        <v>75443</v>
      </c>
      <c r="J1016">
        <v>46878</v>
      </c>
      <c r="K1016">
        <v>0.95354007544290742</v>
      </c>
      <c r="L1016">
        <f t="shared" ca="1" si="99"/>
        <v>236.74235100000001</v>
      </c>
      <c r="M1016">
        <f t="shared" si="100"/>
        <v>245.44154499999999</v>
      </c>
      <c r="N1016">
        <v>46878</v>
      </c>
      <c r="O1016">
        <f t="shared" ca="1" si="95"/>
        <v>0.9645569620253166</v>
      </c>
    </row>
    <row r="1017" spans="1:15" x14ac:dyDescent="0.2">
      <c r="A1017" t="str">
        <f ca="1">IFERROR(__xludf.DUMMYFUNCTION("""COMPUTED_VALUE"""),"km")</f>
        <v>km</v>
      </c>
      <c r="B1017" t="str">
        <f ca="1">IFERROR(__xludf.DUMMYFUNCTION("""COMPUTED_VALUE"""),"Model S P85")</f>
        <v>Model S P85</v>
      </c>
      <c r="D1017">
        <f ca="1">IFERROR(__xludf.DUMMYFUNCTION("""COMPUTED_VALUE"""),52159)</f>
        <v>52159</v>
      </c>
      <c r="E1017">
        <f ca="1">IFERROR(__xludf.DUMMYFUNCTION("""COMPUTED_VALUE"""),381)</f>
        <v>381</v>
      </c>
      <c r="F1017">
        <v>395</v>
      </c>
      <c r="G1017">
        <v>0.96455696202531649</v>
      </c>
      <c r="H1017">
        <v>32410</v>
      </c>
      <c r="I1017">
        <v>52159</v>
      </c>
      <c r="J1017">
        <v>32410</v>
      </c>
      <c r="K1017">
        <v>0.96673841008092321</v>
      </c>
      <c r="L1017">
        <f t="shared" ca="1" si="99"/>
        <v>236.74235100000001</v>
      </c>
      <c r="M1017">
        <f t="shared" si="100"/>
        <v>245.44154499999999</v>
      </c>
      <c r="N1017">
        <v>32410</v>
      </c>
      <c r="O1017">
        <f t="shared" ca="1" si="95"/>
        <v>0.9645569620253166</v>
      </c>
    </row>
    <row r="1018" spans="1:15" x14ac:dyDescent="0.2">
      <c r="A1018" t="str">
        <f ca="1">IFERROR(__xludf.DUMMYFUNCTION("""COMPUTED_VALUE"""),"km")</f>
        <v>km</v>
      </c>
      <c r="B1018" t="str">
        <f ca="1">IFERROR(__xludf.DUMMYFUNCTION("""COMPUTED_VALUE"""),"Model S 85")</f>
        <v>Model S 85</v>
      </c>
      <c r="C1018">
        <f ca="1">IFERROR(__xludf.DUMMYFUNCTION("""COMPUTED_VALUE"""),383)</f>
        <v>383</v>
      </c>
      <c r="D1018">
        <f ca="1">IFERROR(__xludf.DUMMYFUNCTION("""COMPUTED_VALUE"""),26110)</f>
        <v>26110</v>
      </c>
      <c r="E1018">
        <f ca="1">IFERROR(__xludf.DUMMYFUNCTION("""COMPUTED_VALUE"""),381)</f>
        <v>381</v>
      </c>
      <c r="F1018">
        <v>395</v>
      </c>
      <c r="G1018">
        <v>0.96455696202531649</v>
      </c>
      <c r="H1018">
        <v>16224</v>
      </c>
      <c r="I1018">
        <v>26110</v>
      </c>
      <c r="J1018">
        <v>16224</v>
      </c>
      <c r="K1018">
        <v>0.98272285030182926</v>
      </c>
      <c r="L1018">
        <f t="shared" ca="1" si="99"/>
        <v>236.74235100000001</v>
      </c>
      <c r="M1018">
        <f t="shared" si="100"/>
        <v>245.44154499999999</v>
      </c>
      <c r="N1018">
        <v>16224</v>
      </c>
      <c r="O1018">
        <f t="shared" ca="1" si="95"/>
        <v>0.9645569620253166</v>
      </c>
    </row>
    <row r="1019" spans="1:15" x14ac:dyDescent="0.2">
      <c r="A1019" t="str">
        <f ca="1">IFERROR(__xludf.DUMMYFUNCTION("""COMPUTED_VALUE"""),"km")</f>
        <v>km</v>
      </c>
      <c r="B1019" t="str">
        <f ca="1">IFERROR(__xludf.DUMMYFUNCTION("""COMPUTED_VALUE"""),"Model S 85")</f>
        <v>Model S 85</v>
      </c>
      <c r="D1019">
        <f ca="1">IFERROR(__xludf.DUMMYFUNCTION("""COMPUTED_VALUE"""),53756.1)</f>
        <v>53756.1</v>
      </c>
      <c r="E1019">
        <f ca="1">IFERROR(__xludf.DUMMYFUNCTION("""COMPUTED_VALUE"""),381)</f>
        <v>381</v>
      </c>
      <c r="F1019">
        <v>395</v>
      </c>
      <c r="G1019">
        <v>0.96455696202531649</v>
      </c>
      <c r="H1019">
        <v>33402</v>
      </c>
      <c r="I1019">
        <v>53756.1</v>
      </c>
      <c r="J1019">
        <v>33402</v>
      </c>
      <c r="K1019">
        <v>0.96579991422866396</v>
      </c>
      <c r="L1019">
        <f t="shared" ca="1" si="99"/>
        <v>236.74235100000001</v>
      </c>
      <c r="M1019">
        <f t="shared" si="100"/>
        <v>245.44154499999999</v>
      </c>
      <c r="N1019">
        <v>33402</v>
      </c>
      <c r="O1019">
        <f t="shared" ca="1" si="95"/>
        <v>0.9645569620253166</v>
      </c>
    </row>
    <row r="1020" spans="1:15" x14ac:dyDescent="0.2">
      <c r="A1020" t="str">
        <f ca="1">IFERROR(__xludf.DUMMYFUNCTION("""COMPUTED_VALUE"""),"km")</f>
        <v>km</v>
      </c>
      <c r="B1020" t="str">
        <f ca="1">IFERROR(__xludf.DUMMYFUNCTION("""COMPUTED_VALUE"""),"Model S P85")</f>
        <v>Model S P85</v>
      </c>
      <c r="C1020">
        <f ca="1">IFERROR(__xludf.DUMMYFUNCTION("""COMPUTED_VALUE"""),396)</f>
        <v>396</v>
      </c>
      <c r="D1020">
        <f ca="1">IFERROR(__xludf.DUMMYFUNCTION("""COMPUTED_VALUE"""),84561)</f>
        <v>84561</v>
      </c>
      <c r="E1020">
        <f ca="1">IFERROR(__xludf.DUMMYFUNCTION("""COMPUTED_VALUE"""),381)</f>
        <v>381</v>
      </c>
      <c r="F1020">
        <v>395</v>
      </c>
      <c r="G1020">
        <v>0.96455696202531649</v>
      </c>
      <c r="H1020">
        <v>52544</v>
      </c>
      <c r="I1020">
        <v>84561</v>
      </c>
      <c r="J1020">
        <v>52544</v>
      </c>
      <c r="K1020">
        <v>0.94865807497294519</v>
      </c>
      <c r="L1020">
        <f t="shared" ca="1" si="99"/>
        <v>236.74235100000001</v>
      </c>
      <c r="M1020">
        <f t="shared" si="100"/>
        <v>245.44154499999999</v>
      </c>
      <c r="N1020">
        <v>52544</v>
      </c>
      <c r="O1020">
        <f t="shared" ca="1" si="95"/>
        <v>0.9645569620253166</v>
      </c>
    </row>
    <row r="1021" spans="1:15" x14ac:dyDescent="0.2">
      <c r="A1021" t="str">
        <f ca="1">IFERROR(__xludf.DUMMYFUNCTION("""COMPUTED_VALUE"""),"km")</f>
        <v>km</v>
      </c>
      <c r="B1021" t="str">
        <f ca="1">IFERROR(__xludf.DUMMYFUNCTION("""COMPUTED_VALUE"""),"Model S 85")</f>
        <v>Model S 85</v>
      </c>
      <c r="C1021">
        <f ca="1">IFERROR(__xludf.DUMMYFUNCTION("""COMPUTED_VALUE"""),392)</f>
        <v>392</v>
      </c>
      <c r="D1021">
        <f ca="1">IFERROR(__xludf.DUMMYFUNCTION("""COMPUTED_VALUE"""),74000)</f>
        <v>74000</v>
      </c>
      <c r="E1021">
        <f ca="1">IFERROR(__xludf.DUMMYFUNCTION("""COMPUTED_VALUE"""),381)</f>
        <v>381</v>
      </c>
      <c r="F1021">
        <v>395</v>
      </c>
      <c r="G1021">
        <v>0.96455696202531649</v>
      </c>
      <c r="H1021">
        <v>45981</v>
      </c>
      <c r="I1021">
        <v>74000</v>
      </c>
      <c r="J1021">
        <v>45981</v>
      </c>
      <c r="K1021">
        <v>0.95432759142357759</v>
      </c>
      <c r="L1021">
        <f t="shared" ca="1" si="99"/>
        <v>236.74235100000001</v>
      </c>
      <c r="M1021">
        <f t="shared" si="100"/>
        <v>245.44154499999999</v>
      </c>
      <c r="N1021">
        <v>45981</v>
      </c>
      <c r="O1021">
        <f t="shared" ca="1" si="95"/>
        <v>0.9645569620253166</v>
      </c>
    </row>
    <row r="1022" spans="1:15" x14ac:dyDescent="0.2">
      <c r="A1022" t="str">
        <f ca="1">IFERROR(__xludf.DUMMYFUNCTION("""COMPUTED_VALUE"""),"km")</f>
        <v>km</v>
      </c>
      <c r="B1022" t="str">
        <f ca="1">IFERROR(__xludf.DUMMYFUNCTION("""COMPUTED_VALUE"""),"Model S 85")</f>
        <v>Model S 85</v>
      </c>
      <c r="C1022">
        <f ca="1">IFERROR(__xludf.DUMMYFUNCTION("""COMPUTED_VALUE"""),398)</f>
        <v>398</v>
      </c>
      <c r="D1022">
        <f ca="1">IFERROR(__xludf.DUMMYFUNCTION("""COMPUTED_VALUE"""),100500)</f>
        <v>100500</v>
      </c>
      <c r="E1022">
        <f ca="1">IFERROR(__xludf.DUMMYFUNCTION("""COMPUTED_VALUE"""),381)</f>
        <v>381</v>
      </c>
      <c r="F1022">
        <v>395</v>
      </c>
      <c r="G1022">
        <v>0.96455696202531649</v>
      </c>
      <c r="H1022">
        <v>62448</v>
      </c>
      <c r="I1022">
        <v>100500</v>
      </c>
      <c r="J1022">
        <v>62448</v>
      </c>
      <c r="K1022">
        <v>0.94051832978208894</v>
      </c>
      <c r="L1022">
        <f t="shared" ca="1" si="99"/>
        <v>236.74235100000001</v>
      </c>
      <c r="M1022">
        <f t="shared" si="100"/>
        <v>245.44154499999999</v>
      </c>
      <c r="N1022">
        <v>62448</v>
      </c>
      <c r="O1022">
        <f t="shared" ca="1" si="95"/>
        <v>0.9645569620253166</v>
      </c>
    </row>
    <row r="1023" spans="1:15" x14ac:dyDescent="0.2">
      <c r="A1023" t="str">
        <f ca="1">IFERROR(__xludf.DUMMYFUNCTION("""COMPUTED_VALUE"""),"km")</f>
        <v>km</v>
      </c>
      <c r="B1023" t="str">
        <f ca="1">IFERROR(__xludf.DUMMYFUNCTION("""COMPUTED_VALUE"""),"Model S 85")</f>
        <v>Model S 85</v>
      </c>
      <c r="D1023">
        <f ca="1">IFERROR(__xludf.DUMMYFUNCTION("""COMPUTED_VALUE"""),42234)</f>
        <v>42234</v>
      </c>
      <c r="E1023">
        <f ca="1">IFERROR(__xludf.DUMMYFUNCTION("""COMPUTED_VALUE"""),381)</f>
        <v>381</v>
      </c>
      <c r="F1023">
        <v>395</v>
      </c>
      <c r="G1023">
        <v>0.96455696202531649</v>
      </c>
      <c r="H1023">
        <v>26243</v>
      </c>
      <c r="I1023">
        <v>42234</v>
      </c>
      <c r="J1023">
        <v>26243</v>
      </c>
      <c r="K1023">
        <v>0.97267881141214041</v>
      </c>
      <c r="L1023">
        <f t="shared" ca="1" si="99"/>
        <v>236.74235100000001</v>
      </c>
      <c r="M1023">
        <f t="shared" si="100"/>
        <v>245.44154499999999</v>
      </c>
      <c r="N1023">
        <v>26243</v>
      </c>
      <c r="O1023">
        <f t="shared" ca="1" si="95"/>
        <v>0.9645569620253166</v>
      </c>
    </row>
    <row r="1024" spans="1:15" x14ac:dyDescent="0.2">
      <c r="A1024" t="str">
        <f ca="1">IFERROR(__xludf.DUMMYFUNCTION("""COMPUTED_VALUE"""),"km")</f>
        <v>km</v>
      </c>
      <c r="B1024" t="str">
        <f ca="1">IFERROR(__xludf.DUMMYFUNCTION("""COMPUTED_VALUE"""),"Model S 85")</f>
        <v>Model S 85</v>
      </c>
      <c r="D1024">
        <f ca="1">IFERROR(__xludf.DUMMYFUNCTION("""COMPUTED_VALUE"""),28479)</f>
        <v>28479</v>
      </c>
      <c r="E1024">
        <f ca="1">IFERROR(__xludf.DUMMYFUNCTION("""COMPUTED_VALUE"""),381)</f>
        <v>381</v>
      </c>
      <c r="F1024">
        <v>395</v>
      </c>
      <c r="G1024">
        <v>0.96455696202531649</v>
      </c>
      <c r="H1024">
        <v>17696</v>
      </c>
      <c r="I1024">
        <v>28479</v>
      </c>
      <c r="J1024">
        <v>17696</v>
      </c>
      <c r="K1024">
        <v>0.98121689673503554</v>
      </c>
      <c r="L1024">
        <f t="shared" ca="1" si="99"/>
        <v>236.74235100000001</v>
      </c>
      <c r="M1024">
        <f t="shared" si="100"/>
        <v>245.44154499999999</v>
      </c>
      <c r="N1024">
        <v>17696</v>
      </c>
      <c r="O1024">
        <f t="shared" ca="1" si="95"/>
        <v>0.9645569620253166</v>
      </c>
    </row>
    <row r="1025" spans="1:15" x14ac:dyDescent="0.2">
      <c r="A1025" t="str">
        <f ca="1">IFERROR(__xludf.DUMMYFUNCTION("""COMPUTED_VALUE"""),"km")</f>
        <v>km</v>
      </c>
      <c r="B1025" t="str">
        <f ca="1">IFERROR(__xludf.DUMMYFUNCTION("""COMPUTED_VALUE"""),"Model S P85+")</f>
        <v>Model S P85+</v>
      </c>
      <c r="C1025">
        <f ca="1">IFERROR(__xludf.DUMMYFUNCTION("""COMPUTED_VALUE"""),402)</f>
        <v>402</v>
      </c>
      <c r="D1025">
        <f ca="1">IFERROR(__xludf.DUMMYFUNCTION("""COMPUTED_VALUE"""),45400)</f>
        <v>45400</v>
      </c>
      <c r="E1025">
        <f ca="1">IFERROR(__xludf.DUMMYFUNCTION("""COMPUTED_VALUE"""),381)</f>
        <v>381</v>
      </c>
      <c r="F1025">
        <v>395</v>
      </c>
      <c r="G1025">
        <v>0.96455696202531649</v>
      </c>
      <c r="H1025">
        <v>28210</v>
      </c>
      <c r="I1025">
        <v>45400</v>
      </c>
      <c r="J1025">
        <v>28210</v>
      </c>
      <c r="K1025">
        <v>0.97076368096573362</v>
      </c>
      <c r="L1025">
        <f t="shared" ca="1" si="99"/>
        <v>236.74235100000001</v>
      </c>
      <c r="M1025">
        <f t="shared" si="100"/>
        <v>245.44154499999999</v>
      </c>
      <c r="N1025">
        <v>28210</v>
      </c>
      <c r="O1025">
        <f t="shared" ca="1" si="95"/>
        <v>0.9645569620253166</v>
      </c>
    </row>
    <row r="1026" spans="1:15" x14ac:dyDescent="0.2">
      <c r="A1026" t="str">
        <f ca="1">IFERROR(__xludf.DUMMYFUNCTION("""COMPUTED_VALUE"""),"km")</f>
        <v>km</v>
      </c>
      <c r="B1026" t="str">
        <f ca="1">IFERROR(__xludf.DUMMYFUNCTION("""COMPUTED_VALUE"""),"Model S 85")</f>
        <v>Model S 85</v>
      </c>
      <c r="C1026">
        <f ca="1">IFERROR(__xludf.DUMMYFUNCTION("""COMPUTED_VALUE"""),399)</f>
        <v>399</v>
      </c>
      <c r="D1026">
        <f ca="1">IFERROR(__xludf.DUMMYFUNCTION("""COMPUTED_VALUE"""),52619)</f>
        <v>52619</v>
      </c>
      <c r="E1026">
        <f ca="1">IFERROR(__xludf.DUMMYFUNCTION("""COMPUTED_VALUE"""),381)</f>
        <v>381</v>
      </c>
      <c r="F1026">
        <v>395</v>
      </c>
      <c r="G1026">
        <v>0.96455696202531649</v>
      </c>
      <c r="H1026">
        <v>32696</v>
      </c>
      <c r="I1026">
        <v>52619</v>
      </c>
      <c r="J1026">
        <v>32696</v>
      </c>
      <c r="K1026">
        <v>0.96646760563195588</v>
      </c>
      <c r="L1026">
        <f t="shared" ca="1" si="99"/>
        <v>236.74235100000001</v>
      </c>
      <c r="M1026">
        <f t="shared" si="100"/>
        <v>245.44154499999999</v>
      </c>
      <c r="N1026">
        <v>32696</v>
      </c>
      <c r="O1026">
        <f t="shared" ref="O1026:O1089" ca="1" si="101">L1026/M1026</f>
        <v>0.9645569620253166</v>
      </c>
    </row>
    <row r="1027" spans="1:15" x14ac:dyDescent="0.2">
      <c r="A1027" t="str">
        <f ca="1">IFERROR(__xludf.DUMMYFUNCTION("""COMPUTED_VALUE"""),"km")</f>
        <v>km</v>
      </c>
      <c r="B1027" t="str">
        <f ca="1">IFERROR(__xludf.DUMMYFUNCTION("""COMPUTED_VALUE"""),"Model S 85")</f>
        <v>Model S 85</v>
      </c>
      <c r="C1027">
        <f ca="1">IFERROR(__xludf.DUMMYFUNCTION("""COMPUTED_VALUE"""),393)</f>
        <v>393</v>
      </c>
      <c r="D1027">
        <f ca="1">IFERROR(__xludf.DUMMYFUNCTION("""COMPUTED_VALUE"""),25412)</f>
        <v>25412</v>
      </c>
      <c r="E1027">
        <f ca="1">IFERROR(__xludf.DUMMYFUNCTION("""COMPUTED_VALUE"""),381)</f>
        <v>381</v>
      </c>
      <c r="F1027">
        <v>395</v>
      </c>
      <c r="G1027">
        <v>0.96455696202531649</v>
      </c>
      <c r="H1027">
        <v>15790</v>
      </c>
      <c r="I1027">
        <v>25412</v>
      </c>
      <c r="J1027">
        <v>15790</v>
      </c>
      <c r="K1027">
        <v>0.98316853744640043</v>
      </c>
      <c r="L1027">
        <f t="shared" ca="1" si="99"/>
        <v>236.74235100000001</v>
      </c>
      <c r="M1027">
        <f t="shared" si="100"/>
        <v>245.44154499999999</v>
      </c>
      <c r="N1027">
        <v>15790</v>
      </c>
      <c r="O1027">
        <f t="shared" ca="1" si="101"/>
        <v>0.9645569620253166</v>
      </c>
    </row>
    <row r="1028" spans="1:15" x14ac:dyDescent="0.2">
      <c r="A1028" t="str">
        <f ca="1">IFERROR(__xludf.DUMMYFUNCTION("""COMPUTED_VALUE"""),"km")</f>
        <v>km</v>
      </c>
      <c r="B1028" t="str">
        <f ca="1">IFERROR(__xludf.DUMMYFUNCTION("""COMPUTED_VALUE"""),"Model S 85")</f>
        <v>Model S 85</v>
      </c>
      <c r="C1028">
        <f ca="1">IFERROR(__xludf.DUMMYFUNCTION("""COMPUTED_VALUE"""),388)</f>
        <v>388</v>
      </c>
      <c r="D1028">
        <f ca="1">IFERROR(__xludf.DUMMYFUNCTION("""COMPUTED_VALUE"""),39821)</f>
        <v>39821</v>
      </c>
      <c r="E1028">
        <f ca="1">IFERROR(__xludf.DUMMYFUNCTION("""COMPUTED_VALUE"""),381)</f>
        <v>381</v>
      </c>
      <c r="F1028">
        <v>395</v>
      </c>
      <c r="G1028">
        <v>0.96455696202531649</v>
      </c>
      <c r="H1028">
        <v>24744</v>
      </c>
      <c r="I1028">
        <v>39821</v>
      </c>
      <c r="J1028">
        <v>24744</v>
      </c>
      <c r="K1028">
        <v>0.97415108877587675</v>
      </c>
      <c r="L1028">
        <f t="shared" ca="1" si="99"/>
        <v>236.74235100000001</v>
      </c>
      <c r="M1028">
        <f t="shared" si="100"/>
        <v>245.44154499999999</v>
      </c>
      <c r="N1028">
        <v>24744</v>
      </c>
      <c r="O1028">
        <f t="shared" ca="1" si="101"/>
        <v>0.9645569620253166</v>
      </c>
    </row>
    <row r="1029" spans="1:15" x14ac:dyDescent="0.2">
      <c r="A1029" t="str">
        <f ca="1">IFERROR(__xludf.DUMMYFUNCTION("""COMPUTED_VALUE"""),"km")</f>
        <v>km</v>
      </c>
      <c r="B1029" t="str">
        <f ca="1">IFERROR(__xludf.DUMMYFUNCTION("""COMPUTED_VALUE"""),"Model S 85")</f>
        <v>Model S 85</v>
      </c>
      <c r="D1029">
        <f ca="1">IFERROR(__xludf.DUMMYFUNCTION("""COMPUTED_VALUE"""),25069)</f>
        <v>25069</v>
      </c>
      <c r="E1029">
        <f ca="1">IFERROR(__xludf.DUMMYFUNCTION("""COMPUTED_VALUE"""),381)</f>
        <v>381</v>
      </c>
      <c r="F1029">
        <v>395</v>
      </c>
      <c r="G1029">
        <v>0.96455696202531649</v>
      </c>
      <c r="H1029">
        <v>15577</v>
      </c>
      <c r="I1029">
        <v>25069</v>
      </c>
      <c r="J1029">
        <v>15577</v>
      </c>
      <c r="K1029">
        <v>0.9833878787798962</v>
      </c>
      <c r="L1029">
        <f t="shared" ca="1" si="99"/>
        <v>236.74235100000001</v>
      </c>
      <c r="M1029">
        <f t="shared" si="100"/>
        <v>245.44154499999999</v>
      </c>
      <c r="N1029">
        <v>15577</v>
      </c>
      <c r="O1029">
        <f t="shared" ca="1" si="101"/>
        <v>0.9645569620253166</v>
      </c>
    </row>
    <row r="1030" spans="1:15" x14ac:dyDescent="0.2">
      <c r="A1030" t="str">
        <f ca="1">IFERROR(__xludf.DUMMYFUNCTION("""COMPUTED_VALUE"""),"km")</f>
        <v>km</v>
      </c>
      <c r="B1030" t="str">
        <f ca="1">IFERROR(__xludf.DUMMYFUNCTION("""COMPUTED_VALUE"""),"Model S 85")</f>
        <v>Model S 85</v>
      </c>
      <c r="D1030">
        <f ca="1">IFERROR(__xludf.DUMMYFUNCTION("""COMPUTED_VALUE"""),20412)</f>
        <v>20412</v>
      </c>
      <c r="E1030">
        <f ca="1">IFERROR(__xludf.DUMMYFUNCTION("""COMPUTED_VALUE"""),381)</f>
        <v>381</v>
      </c>
      <c r="F1030">
        <v>395</v>
      </c>
      <c r="G1030">
        <v>0.96455696202531649</v>
      </c>
      <c r="H1030">
        <v>12683</v>
      </c>
      <c r="I1030">
        <v>20412</v>
      </c>
      <c r="J1030">
        <v>12683</v>
      </c>
      <c r="K1030">
        <v>0.98638733409334689</v>
      </c>
      <c r="L1030">
        <f t="shared" ca="1" si="99"/>
        <v>236.74235100000001</v>
      </c>
      <c r="M1030">
        <f t="shared" si="100"/>
        <v>245.44154499999999</v>
      </c>
      <c r="N1030">
        <v>12683</v>
      </c>
      <c r="O1030">
        <f t="shared" ca="1" si="101"/>
        <v>0.9645569620253166</v>
      </c>
    </row>
    <row r="1031" spans="1:15" x14ac:dyDescent="0.2">
      <c r="A1031" t="str">
        <f ca="1">IFERROR(__xludf.DUMMYFUNCTION("""COMPUTED_VALUE"""),"km")</f>
        <v>km</v>
      </c>
      <c r="B1031" t="str">
        <f ca="1">IFERROR(__xludf.DUMMYFUNCTION("""COMPUTED_VALUE"""),"Model S 85")</f>
        <v>Model S 85</v>
      </c>
      <c r="D1031">
        <f ca="1">IFERROR(__xludf.DUMMYFUNCTION("""COMPUTED_VALUE"""),18500)</f>
        <v>18500</v>
      </c>
      <c r="E1031">
        <f ca="1">IFERROR(__xludf.DUMMYFUNCTION("""COMPUTED_VALUE"""),381)</f>
        <v>381</v>
      </c>
      <c r="F1031">
        <v>395</v>
      </c>
      <c r="G1031">
        <v>0.96455696202531649</v>
      </c>
      <c r="H1031">
        <v>11495</v>
      </c>
      <c r="I1031">
        <v>18500</v>
      </c>
      <c r="J1031">
        <v>11495</v>
      </c>
      <c r="K1031">
        <v>0.98763031829620584</v>
      </c>
      <c r="L1031">
        <f t="shared" ca="1" si="99"/>
        <v>236.74235100000001</v>
      </c>
      <c r="M1031">
        <f t="shared" si="100"/>
        <v>245.44154499999999</v>
      </c>
      <c r="N1031">
        <v>11495</v>
      </c>
      <c r="O1031">
        <f t="shared" ca="1" si="101"/>
        <v>0.9645569620253166</v>
      </c>
    </row>
    <row r="1032" spans="1:15" x14ac:dyDescent="0.2">
      <c r="A1032" t="str">
        <f ca="1">IFERROR(__xludf.DUMMYFUNCTION("""COMPUTED_VALUE"""),"km")</f>
        <v>km</v>
      </c>
      <c r="B1032" t="str">
        <f ca="1">IFERROR(__xludf.DUMMYFUNCTION("""COMPUTED_VALUE"""),"Model S P85")</f>
        <v>Model S P85</v>
      </c>
      <c r="D1032">
        <f ca="1">IFERROR(__xludf.DUMMYFUNCTION("""COMPUTED_VALUE"""),27906)</f>
        <v>27906</v>
      </c>
      <c r="E1032">
        <f ca="1">IFERROR(__xludf.DUMMYFUNCTION("""COMPUTED_VALUE"""),381)</f>
        <v>381</v>
      </c>
      <c r="F1032">
        <v>395</v>
      </c>
      <c r="G1032">
        <v>0.96455696202531649</v>
      </c>
      <c r="H1032">
        <v>17340</v>
      </c>
      <c r="I1032">
        <v>27906</v>
      </c>
      <c r="J1032">
        <v>17340</v>
      </c>
      <c r="K1032">
        <v>0.98158019805317287</v>
      </c>
      <c r="L1032">
        <f t="shared" ca="1" si="99"/>
        <v>236.74235100000001</v>
      </c>
      <c r="M1032">
        <f t="shared" si="100"/>
        <v>245.44154499999999</v>
      </c>
      <c r="N1032">
        <v>17340</v>
      </c>
      <c r="O1032">
        <f t="shared" ca="1" si="101"/>
        <v>0.9645569620253166</v>
      </c>
    </row>
    <row r="1033" spans="1:15" x14ac:dyDescent="0.2">
      <c r="A1033" t="str">
        <f ca="1">IFERROR(__xludf.DUMMYFUNCTION("""COMPUTED_VALUE"""),"km")</f>
        <v>km</v>
      </c>
      <c r="B1033" t="str">
        <f ca="1">IFERROR(__xludf.DUMMYFUNCTION("""COMPUTED_VALUE"""),"Model S P85")</f>
        <v>Model S P85</v>
      </c>
      <c r="D1033">
        <f ca="1">IFERROR(__xludf.DUMMYFUNCTION("""COMPUTED_VALUE"""),27876)</f>
        <v>27876</v>
      </c>
      <c r="E1033">
        <f ca="1">IFERROR(__xludf.DUMMYFUNCTION("""COMPUTED_VALUE"""),381)</f>
        <v>381</v>
      </c>
      <c r="F1033">
        <v>395</v>
      </c>
      <c r="G1033">
        <v>0.96455696202531649</v>
      </c>
      <c r="H1033">
        <v>17321</v>
      </c>
      <c r="I1033">
        <v>27876</v>
      </c>
      <c r="J1033">
        <v>17321</v>
      </c>
      <c r="K1033">
        <v>0.98159923577532571</v>
      </c>
      <c r="L1033">
        <f t="shared" ca="1" si="99"/>
        <v>236.74235100000001</v>
      </c>
      <c r="M1033">
        <f t="shared" si="100"/>
        <v>245.44154499999999</v>
      </c>
      <c r="N1033">
        <v>17321</v>
      </c>
      <c r="O1033">
        <f t="shared" ca="1" si="101"/>
        <v>0.9645569620253166</v>
      </c>
    </row>
    <row r="1034" spans="1:15" x14ac:dyDescent="0.2">
      <c r="A1034" t="str">
        <f ca="1">IFERROR(__xludf.DUMMYFUNCTION("""COMPUTED_VALUE"""),"km")</f>
        <v>km</v>
      </c>
      <c r="B1034" t="str">
        <f ca="1">IFERROR(__xludf.DUMMYFUNCTION("""COMPUTED_VALUE"""),"Model S P85")</f>
        <v>Model S P85</v>
      </c>
      <c r="D1034">
        <f ca="1">IFERROR(__xludf.DUMMYFUNCTION("""COMPUTED_VALUE"""),52000)</f>
        <v>52000</v>
      </c>
      <c r="E1034">
        <f ca="1">IFERROR(__xludf.DUMMYFUNCTION("""COMPUTED_VALUE"""),381)</f>
        <v>381</v>
      </c>
      <c r="F1034">
        <v>395</v>
      </c>
      <c r="G1034">
        <v>0.96455696202531649</v>
      </c>
      <c r="H1034">
        <v>32311</v>
      </c>
      <c r="I1034">
        <v>52000</v>
      </c>
      <c r="J1034">
        <v>32311</v>
      </c>
      <c r="K1034">
        <v>0.96683210767396877</v>
      </c>
      <c r="L1034">
        <f t="shared" ca="1" si="99"/>
        <v>236.74235100000001</v>
      </c>
      <c r="M1034">
        <f t="shared" si="100"/>
        <v>245.44154499999999</v>
      </c>
      <c r="N1034">
        <v>32311</v>
      </c>
      <c r="O1034">
        <f t="shared" ca="1" si="101"/>
        <v>0.9645569620253166</v>
      </c>
    </row>
    <row r="1035" spans="1:15" x14ac:dyDescent="0.2">
      <c r="A1035" t="str">
        <f ca="1">IFERROR(__xludf.DUMMYFUNCTION("""COMPUTED_VALUE"""),"km")</f>
        <v>km</v>
      </c>
      <c r="B1035" t="str">
        <f ca="1">IFERROR(__xludf.DUMMYFUNCTION("""COMPUTED_VALUE"""),"Model S P85")</f>
        <v>Model S P85</v>
      </c>
      <c r="D1035">
        <f ca="1">IFERROR(__xludf.DUMMYFUNCTION("""COMPUTED_VALUE"""),34000)</f>
        <v>34000</v>
      </c>
      <c r="E1035">
        <f ca="1">IFERROR(__xludf.DUMMYFUNCTION("""COMPUTED_VALUE"""),381)</f>
        <v>381</v>
      </c>
      <c r="F1035">
        <v>395</v>
      </c>
      <c r="G1035">
        <v>0.96455696202531649</v>
      </c>
      <c r="H1035">
        <v>21127</v>
      </c>
      <c r="I1035">
        <v>34000</v>
      </c>
      <c r="J1035">
        <v>21127</v>
      </c>
      <c r="K1035">
        <v>0.97774754847172862</v>
      </c>
      <c r="L1035">
        <f t="shared" ca="1" si="99"/>
        <v>236.74235100000001</v>
      </c>
      <c r="M1035">
        <f t="shared" si="100"/>
        <v>245.44154499999999</v>
      </c>
      <c r="N1035">
        <v>21127</v>
      </c>
      <c r="O1035">
        <f t="shared" ca="1" si="101"/>
        <v>0.9645569620253166</v>
      </c>
    </row>
    <row r="1036" spans="1:15" x14ac:dyDescent="0.2">
      <c r="A1036" t="str">
        <f ca="1">IFERROR(__xludf.DUMMYFUNCTION("""COMPUTED_VALUE"""),"km")</f>
        <v>km</v>
      </c>
      <c r="B1036" t="str">
        <f ca="1">IFERROR(__xludf.DUMMYFUNCTION("""COMPUTED_VALUE"""),"Model S P85")</f>
        <v>Model S P85</v>
      </c>
      <c r="D1036">
        <f ca="1">IFERROR(__xludf.DUMMYFUNCTION("""COMPUTED_VALUE"""),18200)</f>
        <v>18200</v>
      </c>
      <c r="E1036">
        <f ca="1">IFERROR(__xludf.DUMMYFUNCTION("""COMPUTED_VALUE"""),381)</f>
        <v>381</v>
      </c>
      <c r="F1036">
        <v>395</v>
      </c>
      <c r="G1036">
        <v>0.96455696202531649</v>
      </c>
      <c r="H1036">
        <v>11309</v>
      </c>
      <c r="I1036">
        <v>18200</v>
      </c>
      <c r="J1036">
        <v>11309</v>
      </c>
      <c r="K1036">
        <v>0.98782595393639983</v>
      </c>
      <c r="L1036">
        <f t="shared" ca="1" si="99"/>
        <v>236.74235100000001</v>
      </c>
      <c r="M1036">
        <f t="shared" si="100"/>
        <v>245.44154499999999</v>
      </c>
      <c r="N1036">
        <v>11309</v>
      </c>
      <c r="O1036">
        <f t="shared" ca="1" si="101"/>
        <v>0.9645569620253166</v>
      </c>
    </row>
    <row r="1037" spans="1:15" x14ac:dyDescent="0.2">
      <c r="A1037" t="str">
        <f ca="1">IFERROR(__xludf.DUMMYFUNCTION("""COMPUTED_VALUE"""),"km")</f>
        <v>km</v>
      </c>
      <c r="B1037" t="str">
        <f ca="1">IFERROR(__xludf.DUMMYFUNCTION("""COMPUTED_VALUE"""),"Model S P85")</f>
        <v>Model S P85</v>
      </c>
      <c r="D1037">
        <f ca="1">IFERROR(__xludf.DUMMYFUNCTION("""COMPUTED_VALUE"""),46000)</f>
        <v>46000</v>
      </c>
      <c r="E1037">
        <f ca="1">IFERROR(__xludf.DUMMYFUNCTION("""COMPUTED_VALUE"""),381)</f>
        <v>381</v>
      </c>
      <c r="F1037">
        <v>395</v>
      </c>
      <c r="G1037">
        <v>0.96455696202531649</v>
      </c>
      <c r="H1037">
        <v>28583</v>
      </c>
      <c r="I1037">
        <v>46000</v>
      </c>
      <c r="J1037">
        <v>28583</v>
      </c>
      <c r="K1037">
        <v>0.97040286442141643</v>
      </c>
      <c r="L1037">
        <f t="shared" ca="1" si="99"/>
        <v>236.74235100000001</v>
      </c>
      <c r="M1037">
        <f t="shared" si="100"/>
        <v>245.44154499999999</v>
      </c>
      <c r="N1037">
        <v>28583</v>
      </c>
      <c r="O1037">
        <f t="shared" ca="1" si="101"/>
        <v>0.9645569620253166</v>
      </c>
    </row>
    <row r="1038" spans="1:15" x14ac:dyDescent="0.2">
      <c r="A1038" t="str">
        <f ca="1">IFERROR(__xludf.DUMMYFUNCTION("""COMPUTED_VALUE"""),"km")</f>
        <v>km</v>
      </c>
      <c r="B1038" t="str">
        <f ca="1">IFERROR(__xludf.DUMMYFUNCTION("""COMPUTED_VALUE"""),"Unspecified 85 kWh")</f>
        <v>Unspecified 85 kWh</v>
      </c>
      <c r="D1038">
        <f ca="1">IFERROR(__xludf.DUMMYFUNCTION("""COMPUTED_VALUE"""),27000)</f>
        <v>27000</v>
      </c>
      <c r="E1038">
        <f ca="1">IFERROR(__xludf.DUMMYFUNCTION("""COMPUTED_VALUE"""),381)</f>
        <v>381</v>
      </c>
      <c r="F1038">
        <v>395</v>
      </c>
      <c r="G1038">
        <v>0.96455696202531649</v>
      </c>
      <c r="H1038">
        <v>16777</v>
      </c>
      <c r="I1038">
        <v>27000</v>
      </c>
      <c r="J1038">
        <v>16777</v>
      </c>
      <c r="K1038">
        <v>0.98215586999584537</v>
      </c>
      <c r="L1038">
        <f t="shared" ca="1" si="99"/>
        <v>236.74235100000001</v>
      </c>
      <c r="M1038">
        <f t="shared" si="100"/>
        <v>245.44154499999999</v>
      </c>
      <c r="N1038">
        <v>16777</v>
      </c>
      <c r="O1038">
        <f t="shared" ca="1" si="101"/>
        <v>0.9645569620253166</v>
      </c>
    </row>
    <row r="1039" spans="1:15" x14ac:dyDescent="0.2">
      <c r="A1039" t="str">
        <f ca="1">IFERROR(__xludf.DUMMYFUNCTION("""COMPUTED_VALUE"""),"km")</f>
        <v>km</v>
      </c>
      <c r="B1039" t="str">
        <f ca="1">IFERROR(__xludf.DUMMYFUNCTION("""COMPUTED_VALUE"""),"Model S 85")</f>
        <v>Model S 85</v>
      </c>
      <c r="D1039">
        <f ca="1">IFERROR(__xludf.DUMMYFUNCTION("""COMPUTED_VALUE"""),35000)</f>
        <v>35000</v>
      </c>
      <c r="E1039">
        <f ca="1">IFERROR(__xludf.DUMMYFUNCTION("""COMPUTED_VALUE"""),381)</f>
        <v>381</v>
      </c>
      <c r="F1039">
        <v>395</v>
      </c>
      <c r="G1039">
        <v>0.96455696202531649</v>
      </c>
      <c r="H1039">
        <v>21748</v>
      </c>
      <c r="I1039">
        <v>35000</v>
      </c>
      <c r="J1039">
        <v>21748</v>
      </c>
      <c r="K1039">
        <v>0.97712521121457918</v>
      </c>
      <c r="L1039">
        <f t="shared" ca="1" si="99"/>
        <v>236.74235100000001</v>
      </c>
      <c r="M1039">
        <f t="shared" si="100"/>
        <v>245.44154499999999</v>
      </c>
      <c r="N1039">
        <v>21748</v>
      </c>
      <c r="O1039">
        <f t="shared" ca="1" si="101"/>
        <v>0.9645569620253166</v>
      </c>
    </row>
    <row r="1040" spans="1:15" x14ac:dyDescent="0.2">
      <c r="A1040" t="str">
        <f ca="1">IFERROR(__xludf.DUMMYFUNCTION("""COMPUTED_VALUE"""),"km")</f>
        <v>km</v>
      </c>
      <c r="B1040" t="str">
        <f ca="1">IFERROR(__xludf.DUMMYFUNCTION("""COMPUTED_VALUE"""),"Model S 85D")</f>
        <v>Model S 85D</v>
      </c>
      <c r="C1040">
        <f ca="1">IFERROR(__xludf.DUMMYFUNCTION("""COMPUTED_VALUE"""),420)</f>
        <v>420</v>
      </c>
      <c r="D1040">
        <f ca="1">IFERROR(__xludf.DUMMYFUNCTION("""COMPUTED_VALUE"""),58000)</f>
        <v>58000</v>
      </c>
      <c r="E1040">
        <f ca="1">IFERROR(__xludf.DUMMYFUNCTION("""COMPUTED_VALUE"""),410)</f>
        <v>410</v>
      </c>
      <c r="F1040">
        <v>425</v>
      </c>
      <c r="G1040">
        <v>0.96470588235294119</v>
      </c>
      <c r="H1040">
        <v>36040</v>
      </c>
      <c r="I1040">
        <v>58000</v>
      </c>
      <c r="J1040">
        <v>36040</v>
      </c>
      <c r="K1040">
        <v>0.96332969200394658</v>
      </c>
      <c r="L1040">
        <f t="shared" ca="1" si="99"/>
        <v>254.76211000000001</v>
      </c>
      <c r="M1040">
        <f t="shared" si="100"/>
        <v>264.08267499999999</v>
      </c>
      <c r="N1040">
        <v>36040</v>
      </c>
      <c r="O1040">
        <f t="shared" ca="1" si="101"/>
        <v>0.96470588235294119</v>
      </c>
    </row>
    <row r="1041" spans="1:15" x14ac:dyDescent="0.2">
      <c r="A1041" t="str">
        <f ca="1">IFERROR(__xludf.DUMMYFUNCTION("""COMPUTED_VALUE"""),"km")</f>
        <v>km</v>
      </c>
      <c r="B1041" t="str">
        <f ca="1">IFERROR(__xludf.DUMMYFUNCTION("""COMPUTED_VALUE"""),"Model S 85D")</f>
        <v>Model S 85D</v>
      </c>
      <c r="D1041">
        <f ca="1">IFERROR(__xludf.DUMMYFUNCTION("""COMPUTED_VALUE"""),74909)</f>
        <v>74909</v>
      </c>
      <c r="E1041">
        <f ca="1">IFERROR(__xludf.DUMMYFUNCTION("""COMPUTED_VALUE"""),410)</f>
        <v>410</v>
      </c>
      <c r="F1041">
        <v>425</v>
      </c>
      <c r="G1041">
        <v>0.96470588235294119</v>
      </c>
      <c r="H1041">
        <v>46546</v>
      </c>
      <c r="I1041">
        <v>74909</v>
      </c>
      <c r="J1041">
        <v>46546</v>
      </c>
      <c r="K1041">
        <v>0.95383103266293279</v>
      </c>
      <c r="L1041">
        <f t="shared" ca="1" si="99"/>
        <v>254.76211000000001</v>
      </c>
      <c r="M1041">
        <f t="shared" si="100"/>
        <v>264.08267499999999</v>
      </c>
      <c r="N1041">
        <v>46546</v>
      </c>
      <c r="O1041">
        <f t="shared" ca="1" si="101"/>
        <v>0.96470588235294119</v>
      </c>
    </row>
    <row r="1042" spans="1:15" x14ac:dyDescent="0.2">
      <c r="A1042" t="str">
        <f ca="1">IFERROR(__xludf.DUMMYFUNCTION("""COMPUTED_VALUE"""),"km")</f>
        <v>km</v>
      </c>
      <c r="B1042" t="str">
        <f ca="1">IFERROR(__xludf.DUMMYFUNCTION("""COMPUTED_VALUE"""),"Model S 85D")</f>
        <v>Model S 85D</v>
      </c>
      <c r="C1042">
        <f ca="1">IFERROR(__xludf.DUMMYFUNCTION("""COMPUTED_VALUE"""),418)</f>
        <v>418</v>
      </c>
      <c r="D1042">
        <f ca="1">IFERROR(__xludf.DUMMYFUNCTION("""COMPUTED_VALUE"""),109111)</f>
        <v>109111</v>
      </c>
      <c r="E1042">
        <f ca="1">IFERROR(__xludf.DUMMYFUNCTION("""COMPUTED_VALUE"""),410)</f>
        <v>410</v>
      </c>
      <c r="F1042">
        <v>425</v>
      </c>
      <c r="G1042">
        <v>0.96470588235294119</v>
      </c>
      <c r="H1042">
        <v>67798</v>
      </c>
      <c r="I1042">
        <v>109111</v>
      </c>
      <c r="J1042">
        <v>67798</v>
      </c>
      <c r="K1042">
        <v>0.93633228664050272</v>
      </c>
      <c r="L1042">
        <f t="shared" ca="1" si="99"/>
        <v>254.76211000000001</v>
      </c>
      <c r="M1042">
        <f t="shared" si="100"/>
        <v>264.08267499999999</v>
      </c>
      <c r="N1042">
        <v>67798</v>
      </c>
      <c r="O1042">
        <f t="shared" ca="1" si="101"/>
        <v>0.96470588235294119</v>
      </c>
    </row>
    <row r="1043" spans="1:15" x14ac:dyDescent="0.2">
      <c r="A1043" t="str">
        <f ca="1">IFERROR(__xludf.DUMMYFUNCTION("""COMPUTED_VALUE"""),"km")</f>
        <v>km</v>
      </c>
      <c r="B1043" t="str">
        <f ca="1">IFERROR(__xludf.DUMMYFUNCTION("""COMPUTED_VALUE"""),"Model S 85D")</f>
        <v>Model S 85D</v>
      </c>
      <c r="D1043">
        <f ca="1">IFERROR(__xludf.DUMMYFUNCTION("""COMPUTED_VALUE"""),72843)</f>
        <v>72843</v>
      </c>
      <c r="E1043">
        <f ca="1">IFERROR(__xludf.DUMMYFUNCTION("""COMPUTED_VALUE"""),410)</f>
        <v>410</v>
      </c>
      <c r="F1043">
        <v>425</v>
      </c>
      <c r="G1043">
        <v>0.96470588235294119</v>
      </c>
      <c r="H1043">
        <v>45263</v>
      </c>
      <c r="I1043">
        <v>72843</v>
      </c>
      <c r="J1043">
        <v>45263</v>
      </c>
      <c r="K1043">
        <v>0.95496195100660253</v>
      </c>
      <c r="L1043">
        <f t="shared" ca="1" si="99"/>
        <v>254.76211000000001</v>
      </c>
      <c r="M1043">
        <f t="shared" si="100"/>
        <v>264.08267499999999</v>
      </c>
      <c r="N1043">
        <v>45263</v>
      </c>
      <c r="O1043">
        <f t="shared" ca="1" si="101"/>
        <v>0.96470588235294119</v>
      </c>
    </row>
    <row r="1044" spans="1:15" x14ac:dyDescent="0.2">
      <c r="A1044" t="str">
        <f ca="1">IFERROR(__xludf.DUMMYFUNCTION("""COMPUTED_VALUE"""),"km")</f>
        <v>km</v>
      </c>
      <c r="B1044" t="str">
        <f ca="1">IFERROR(__xludf.DUMMYFUNCTION("""COMPUTED_VALUE"""),"Model S 85D")</f>
        <v>Model S 85D</v>
      </c>
      <c r="D1044">
        <f ca="1">IFERROR(__xludf.DUMMYFUNCTION("""COMPUTED_VALUE"""),71619)</f>
        <v>71619</v>
      </c>
      <c r="E1044">
        <f ca="1">IFERROR(__xludf.DUMMYFUNCTION("""COMPUTED_VALUE"""),410)</f>
        <v>410</v>
      </c>
      <c r="F1044">
        <v>425</v>
      </c>
      <c r="G1044">
        <v>0.96470588235294119</v>
      </c>
      <c r="H1044">
        <v>44502</v>
      </c>
      <c r="I1044">
        <v>71619</v>
      </c>
      <c r="J1044">
        <v>44502</v>
      </c>
      <c r="K1044">
        <v>0.9556358777274585</v>
      </c>
      <c r="L1044">
        <f t="shared" ca="1" si="99"/>
        <v>254.76211000000001</v>
      </c>
      <c r="M1044">
        <f t="shared" si="100"/>
        <v>264.08267499999999</v>
      </c>
      <c r="N1044">
        <v>44502</v>
      </c>
      <c r="O1044">
        <f t="shared" ca="1" si="101"/>
        <v>0.96470588235294119</v>
      </c>
    </row>
    <row r="1045" spans="1:15" x14ac:dyDescent="0.2">
      <c r="A1045" t="str">
        <f ca="1">IFERROR(__xludf.DUMMYFUNCTION("""COMPUTED_VALUE"""),"km")</f>
        <v>km</v>
      </c>
      <c r="B1045" t="str">
        <f ca="1">IFERROR(__xludf.DUMMYFUNCTION("""COMPUTED_VALUE"""),"Model S 85D")</f>
        <v>Model S 85D</v>
      </c>
      <c r="D1045">
        <f ca="1">IFERROR(__xludf.DUMMYFUNCTION("""COMPUTED_VALUE"""),88932)</f>
        <v>88932</v>
      </c>
      <c r="E1045">
        <f ca="1">IFERROR(__xludf.DUMMYFUNCTION("""COMPUTED_VALUE"""),410)</f>
        <v>410</v>
      </c>
      <c r="F1045">
        <v>425</v>
      </c>
      <c r="G1045">
        <v>0.96470588235294119</v>
      </c>
      <c r="H1045">
        <v>55260</v>
      </c>
      <c r="I1045">
        <v>88932</v>
      </c>
      <c r="J1045">
        <v>55260</v>
      </c>
      <c r="K1045">
        <v>0.94637570210028721</v>
      </c>
      <c r="L1045">
        <f t="shared" ca="1" si="99"/>
        <v>254.76211000000001</v>
      </c>
      <c r="M1045">
        <f t="shared" si="100"/>
        <v>264.08267499999999</v>
      </c>
      <c r="N1045">
        <v>55260</v>
      </c>
      <c r="O1045">
        <f t="shared" ca="1" si="101"/>
        <v>0.96470588235294119</v>
      </c>
    </row>
    <row r="1046" spans="1:15" x14ac:dyDescent="0.2">
      <c r="A1046" t="str">
        <f ca="1">IFERROR(__xludf.DUMMYFUNCTION("""COMPUTED_VALUE"""),"km")</f>
        <v>km</v>
      </c>
      <c r="B1046" t="str">
        <f ca="1">IFERROR(__xludf.DUMMYFUNCTION("""COMPUTED_VALUE"""),"Model S 85D")</f>
        <v>Model S 85D</v>
      </c>
      <c r="D1046">
        <f ca="1">IFERROR(__xludf.DUMMYFUNCTION("""COMPUTED_VALUE"""),43210)</f>
        <v>43210</v>
      </c>
      <c r="E1046">
        <f ca="1">IFERROR(__xludf.DUMMYFUNCTION("""COMPUTED_VALUE"""),410)</f>
        <v>410</v>
      </c>
      <c r="F1046">
        <v>425</v>
      </c>
      <c r="G1046">
        <v>0.96470588235294119</v>
      </c>
      <c r="H1046">
        <v>26849</v>
      </c>
      <c r="I1046">
        <v>43210</v>
      </c>
      <c r="J1046">
        <v>26849</v>
      </c>
      <c r="K1046">
        <v>0.97208641416854746</v>
      </c>
      <c r="L1046">
        <f t="shared" ca="1" si="99"/>
        <v>254.76211000000001</v>
      </c>
      <c r="M1046">
        <f t="shared" si="100"/>
        <v>264.08267499999999</v>
      </c>
      <c r="N1046">
        <v>26849</v>
      </c>
      <c r="O1046">
        <f t="shared" ca="1" si="101"/>
        <v>0.96470588235294119</v>
      </c>
    </row>
    <row r="1047" spans="1:15" x14ac:dyDescent="0.2">
      <c r="A1047" t="str">
        <f ca="1">IFERROR(__xludf.DUMMYFUNCTION("""COMPUTED_VALUE"""),"km")</f>
        <v>km</v>
      </c>
      <c r="B1047" t="str">
        <f ca="1">IFERROR(__xludf.DUMMYFUNCTION("""COMPUTED_VALUE"""),"Model S 60")</f>
        <v>Model S 60</v>
      </c>
      <c r="D1047">
        <f ca="1">IFERROR(__xludf.DUMMYFUNCTION("""COMPUTED_VALUE"""),39800)</f>
        <v>39800</v>
      </c>
      <c r="E1047">
        <f ca="1">IFERROR(__xludf.DUMMYFUNCTION("""COMPUTED_VALUE"""),274)</f>
        <v>274</v>
      </c>
      <c r="F1047">
        <v>284</v>
      </c>
      <c r="G1047">
        <v>0.96478873239436624</v>
      </c>
      <c r="H1047">
        <v>24731</v>
      </c>
      <c r="I1047">
        <v>39800</v>
      </c>
      <c r="J1047">
        <v>24731</v>
      </c>
      <c r="K1047">
        <v>0.97416394969233433</v>
      </c>
      <c r="L1047">
        <f t="shared" ca="1" si="99"/>
        <v>170.25565399999999</v>
      </c>
      <c r="M1047">
        <f t="shared" si="100"/>
        <v>176.46936400000001</v>
      </c>
      <c r="N1047">
        <v>24731</v>
      </c>
      <c r="O1047">
        <f t="shared" ca="1" si="101"/>
        <v>0.96478873239436613</v>
      </c>
    </row>
    <row r="1048" spans="1:15" x14ac:dyDescent="0.2">
      <c r="A1048" t="str">
        <f ca="1">IFERROR(__xludf.DUMMYFUNCTION("""COMPUTED_VALUE"""),"km")</f>
        <v>km</v>
      </c>
      <c r="B1048" t="str">
        <f ca="1">IFERROR(__xludf.DUMMYFUNCTION("""COMPUTED_VALUE"""),"Model S P100D")</f>
        <v>Model S P100D</v>
      </c>
      <c r="D1048">
        <f ca="1">IFERROR(__xludf.DUMMYFUNCTION("""COMPUTED_VALUE"""),32048)</f>
        <v>32048</v>
      </c>
      <c r="E1048">
        <f ca="1">IFERROR(__xludf.DUMMYFUNCTION("""COMPUTED_VALUE"""),466)</f>
        <v>466</v>
      </c>
      <c r="F1048">
        <v>483</v>
      </c>
      <c r="G1048">
        <v>0.96480331262939956</v>
      </c>
      <c r="H1048">
        <v>19914</v>
      </c>
      <c r="I1048">
        <v>32048</v>
      </c>
      <c r="J1048">
        <v>19914</v>
      </c>
      <c r="K1048">
        <v>0.97896770768144137</v>
      </c>
      <c r="L1048">
        <f t="shared" ca="1" si="99"/>
        <v>289.55888600000003</v>
      </c>
      <c r="M1048">
        <f t="shared" si="100"/>
        <v>300.12219299999998</v>
      </c>
      <c r="N1048">
        <v>19914</v>
      </c>
      <c r="O1048">
        <f t="shared" ca="1" si="101"/>
        <v>0.96480331262939978</v>
      </c>
    </row>
    <row r="1049" spans="1:15" x14ac:dyDescent="0.2">
      <c r="A1049" t="str">
        <f ca="1">IFERROR(__xludf.DUMMYFUNCTION("""COMPUTED_VALUE"""),"km")</f>
        <v>km</v>
      </c>
      <c r="B1049" t="str">
        <f ca="1">IFERROR(__xludf.DUMMYFUNCTION("""COMPUTED_VALUE"""),"Model S P100D")</f>
        <v>Model S P100D</v>
      </c>
      <c r="D1049">
        <f ca="1">IFERROR(__xludf.DUMMYFUNCTION("""COMPUTED_VALUE"""),37079)</f>
        <v>37079</v>
      </c>
      <c r="E1049">
        <f ca="1">IFERROR(__xludf.DUMMYFUNCTION("""COMPUTED_VALUE"""),466)</f>
        <v>466</v>
      </c>
      <c r="F1049">
        <v>483</v>
      </c>
      <c r="G1049">
        <v>0.96480331262939956</v>
      </c>
      <c r="H1049">
        <v>23040</v>
      </c>
      <c r="I1049">
        <v>37079</v>
      </c>
      <c r="J1049">
        <v>23040</v>
      </c>
      <c r="K1049">
        <v>0.97583733426491692</v>
      </c>
      <c r="L1049">
        <f t="shared" ca="1" si="99"/>
        <v>289.55888600000003</v>
      </c>
      <c r="M1049">
        <f t="shared" si="100"/>
        <v>300.12219299999998</v>
      </c>
      <c r="N1049">
        <v>23040</v>
      </c>
      <c r="O1049">
        <f t="shared" ca="1" si="101"/>
        <v>0.96480331262939978</v>
      </c>
    </row>
    <row r="1050" spans="1:15" x14ac:dyDescent="0.2">
      <c r="A1050" t="str">
        <f ca="1">IFERROR(__xludf.DUMMYFUNCTION("""COMPUTED_VALUE"""),"mi")</f>
        <v>mi</v>
      </c>
      <c r="B1050" t="str">
        <f ca="1">IFERROR(__xludf.DUMMYFUNCTION("""COMPUTED_VALUE"""),"Model X 90D")</f>
        <v>Model X 90D</v>
      </c>
      <c r="D1050">
        <f ca="1">IFERROR(__xludf.DUMMYFUNCTION("""COMPUTED_VALUE"""),24700)</f>
        <v>24700</v>
      </c>
      <c r="E1050">
        <f ca="1">IFERROR(__xludf.DUMMYFUNCTION("""COMPUTED_VALUE"""),248)</f>
        <v>248</v>
      </c>
      <c r="F1050">
        <v>257</v>
      </c>
      <c r="G1050">
        <v>0.96498054474708173</v>
      </c>
      <c r="H1050">
        <v>24700</v>
      </c>
      <c r="I1050">
        <v>39751</v>
      </c>
      <c r="J1050">
        <v>24700</v>
      </c>
      <c r="K1050">
        <v>0.97419396170826511</v>
      </c>
      <c r="L1050">
        <f ca="1">IFERROR(__xludf.DUMMYFUNCTION("""COMPUTED_VALUE"""),248)</f>
        <v>248</v>
      </c>
      <c r="M1050">
        <v>257</v>
      </c>
      <c r="N1050">
        <v>24700</v>
      </c>
      <c r="O1050">
        <f t="shared" ca="1" si="101"/>
        <v>0.96498054474708173</v>
      </c>
    </row>
    <row r="1051" spans="1:15" x14ac:dyDescent="0.2">
      <c r="A1051" t="str">
        <f ca="1">IFERROR(__xludf.DUMMYFUNCTION("""COMPUTED_VALUE"""),"mi")</f>
        <v>mi</v>
      </c>
      <c r="B1051" t="str">
        <f ca="1">IFERROR(__xludf.DUMMYFUNCTION("""COMPUTED_VALUE"""),"Model S 75D")</f>
        <v>Model S 75D</v>
      </c>
      <c r="D1051">
        <f ca="1">IFERROR(__xludf.DUMMYFUNCTION("""COMPUTED_VALUE"""),11252)</f>
        <v>11252</v>
      </c>
      <c r="E1051">
        <f ca="1">IFERROR(__xludf.DUMMYFUNCTION("""COMPUTED_VALUE"""),250)</f>
        <v>250</v>
      </c>
      <c r="F1051">
        <v>259</v>
      </c>
      <c r="G1051">
        <v>0.96525096525096521</v>
      </c>
      <c r="H1051">
        <v>11252</v>
      </c>
      <c r="I1051">
        <v>18108</v>
      </c>
      <c r="J1051">
        <v>11252</v>
      </c>
      <c r="K1051">
        <v>0.98788598181109788</v>
      </c>
      <c r="L1051">
        <f ca="1">IFERROR(__xludf.DUMMYFUNCTION("""COMPUTED_VALUE"""),250)</f>
        <v>250</v>
      </c>
      <c r="M1051">
        <v>259</v>
      </c>
      <c r="N1051">
        <v>11252</v>
      </c>
      <c r="O1051">
        <f t="shared" ca="1" si="101"/>
        <v>0.96525096525096521</v>
      </c>
    </row>
    <row r="1052" spans="1:15" x14ac:dyDescent="0.2">
      <c r="A1052" t="str">
        <f ca="1">IFERROR(__xludf.DUMMYFUNCTION("""COMPUTED_VALUE"""),"km")</f>
        <v>km</v>
      </c>
      <c r="B1052" t="str">
        <f ca="1">IFERROR(__xludf.DUMMYFUNCTION("""COMPUTED_VALUE"""),"Model S P85D")</f>
        <v>Model S P85D</v>
      </c>
      <c r="C1052">
        <f ca="1">IFERROR(__xludf.DUMMYFUNCTION("""COMPUTED_VALUE"""),406)</f>
        <v>406</v>
      </c>
      <c r="D1052">
        <f ca="1">IFERROR(__xludf.DUMMYFUNCTION("""COMPUTED_VALUE"""),48204)</f>
        <v>48204</v>
      </c>
      <c r="E1052">
        <f ca="1">IFERROR(__xludf.DUMMYFUNCTION("""COMPUTED_VALUE"""),389)</f>
        <v>389</v>
      </c>
      <c r="F1052">
        <v>403</v>
      </c>
      <c r="G1052">
        <v>0.9652605459057072</v>
      </c>
      <c r="H1052">
        <v>29953</v>
      </c>
      <c r="I1052">
        <v>48204</v>
      </c>
      <c r="J1052">
        <v>29953</v>
      </c>
      <c r="K1052">
        <v>0.96908329463307452</v>
      </c>
      <c r="L1052">
        <f t="shared" ref="L1052:M1059" ca="1" si="102">E1052*0.621371</f>
        <v>241.71331900000001</v>
      </c>
      <c r="M1052">
        <f t="shared" si="102"/>
        <v>250.41251299999999</v>
      </c>
      <c r="N1052">
        <v>29953</v>
      </c>
      <c r="O1052">
        <f t="shared" ca="1" si="101"/>
        <v>0.96526054590570731</v>
      </c>
    </row>
    <row r="1053" spans="1:15" x14ac:dyDescent="0.2">
      <c r="A1053" t="str">
        <f ca="1">IFERROR(__xludf.DUMMYFUNCTION("""COMPUTED_VALUE"""),"km")</f>
        <v>km</v>
      </c>
      <c r="B1053" t="str">
        <f ca="1">IFERROR(__xludf.DUMMYFUNCTION("""COMPUTED_VALUE"""),"Model S P85D")</f>
        <v>Model S P85D</v>
      </c>
      <c r="C1053">
        <f ca="1">IFERROR(__xludf.DUMMYFUNCTION("""COMPUTED_VALUE"""),406)</f>
        <v>406</v>
      </c>
      <c r="D1053">
        <f ca="1">IFERROR(__xludf.DUMMYFUNCTION("""COMPUTED_VALUE"""),46975)</f>
        <v>46975</v>
      </c>
      <c r="E1053">
        <f ca="1">IFERROR(__xludf.DUMMYFUNCTION("""COMPUTED_VALUE"""),389)</f>
        <v>389</v>
      </c>
      <c r="F1053">
        <v>403</v>
      </c>
      <c r="G1053">
        <v>0.9652605459057072</v>
      </c>
      <c r="H1053">
        <v>29189</v>
      </c>
      <c r="I1053">
        <v>46975</v>
      </c>
      <c r="J1053">
        <v>29189</v>
      </c>
      <c r="K1053">
        <v>0.96981798542858288</v>
      </c>
      <c r="L1053">
        <f t="shared" ca="1" si="102"/>
        <v>241.71331900000001</v>
      </c>
      <c r="M1053">
        <f t="shared" si="102"/>
        <v>250.41251299999999</v>
      </c>
      <c r="N1053">
        <v>29189</v>
      </c>
      <c r="O1053">
        <f t="shared" ca="1" si="101"/>
        <v>0.96526054590570731</v>
      </c>
    </row>
    <row r="1054" spans="1:15" x14ac:dyDescent="0.2">
      <c r="A1054" t="str">
        <f ca="1">IFERROR(__xludf.DUMMYFUNCTION("""COMPUTED_VALUE"""),"km")</f>
        <v>km</v>
      </c>
      <c r="B1054" t="str">
        <f ca="1">IFERROR(__xludf.DUMMYFUNCTION("""COMPUTED_VALUE"""),"Model S P85D")</f>
        <v>Model S P85D</v>
      </c>
      <c r="C1054">
        <f ca="1">IFERROR(__xludf.DUMMYFUNCTION("""COMPUTED_VALUE"""),406)</f>
        <v>406</v>
      </c>
      <c r="D1054">
        <f ca="1">IFERROR(__xludf.DUMMYFUNCTION("""COMPUTED_VALUE"""),43470)</f>
        <v>43470</v>
      </c>
      <c r="E1054">
        <f ca="1">IFERROR(__xludf.DUMMYFUNCTION("""COMPUTED_VALUE"""),389)</f>
        <v>389</v>
      </c>
      <c r="F1054">
        <v>403</v>
      </c>
      <c r="G1054">
        <v>0.9652605459057072</v>
      </c>
      <c r="H1054">
        <v>27011</v>
      </c>
      <c r="I1054">
        <v>43470</v>
      </c>
      <c r="J1054">
        <v>27011</v>
      </c>
      <c r="K1054">
        <v>0.97192890534454324</v>
      </c>
      <c r="L1054">
        <f t="shared" ca="1" si="102"/>
        <v>241.71331900000001</v>
      </c>
      <c r="M1054">
        <f t="shared" si="102"/>
        <v>250.41251299999999</v>
      </c>
      <c r="N1054">
        <v>27011</v>
      </c>
      <c r="O1054">
        <f t="shared" ca="1" si="101"/>
        <v>0.96526054590570731</v>
      </c>
    </row>
    <row r="1055" spans="1:15" x14ac:dyDescent="0.2">
      <c r="A1055" t="str">
        <f ca="1">IFERROR(__xludf.DUMMYFUNCTION("""COMPUTED_VALUE"""),"km")</f>
        <v>km</v>
      </c>
      <c r="B1055" t="str">
        <f ca="1">IFERROR(__xludf.DUMMYFUNCTION("""COMPUTED_VALUE"""),"Model S P85D")</f>
        <v>Model S P85D</v>
      </c>
      <c r="C1055">
        <f ca="1">IFERROR(__xludf.DUMMYFUNCTION("""COMPUTED_VALUE"""),406)</f>
        <v>406</v>
      </c>
      <c r="D1055">
        <f ca="1">IFERROR(__xludf.DUMMYFUNCTION("""COMPUTED_VALUE"""),15471)</f>
        <v>15471</v>
      </c>
      <c r="E1055">
        <f ca="1">IFERROR(__xludf.DUMMYFUNCTION("""COMPUTED_VALUE"""),389)</f>
        <v>389</v>
      </c>
      <c r="F1055">
        <v>403</v>
      </c>
      <c r="G1055">
        <v>0.9652605459057072</v>
      </c>
      <c r="H1055">
        <v>9613</v>
      </c>
      <c r="I1055">
        <v>15471</v>
      </c>
      <c r="J1055">
        <v>9613</v>
      </c>
      <c r="K1055">
        <v>0.98961312986505812</v>
      </c>
      <c r="L1055">
        <f t="shared" ca="1" si="102"/>
        <v>241.71331900000001</v>
      </c>
      <c r="M1055">
        <f t="shared" si="102"/>
        <v>250.41251299999999</v>
      </c>
      <c r="N1055">
        <v>9613</v>
      </c>
      <c r="O1055">
        <f t="shared" ca="1" si="101"/>
        <v>0.96526054590570731</v>
      </c>
    </row>
    <row r="1056" spans="1:15" x14ac:dyDescent="0.2">
      <c r="A1056" t="str">
        <f ca="1">IFERROR(__xludf.DUMMYFUNCTION("""COMPUTED_VALUE"""),"km")</f>
        <v>km</v>
      </c>
      <c r="B1056" t="str">
        <f ca="1">IFERROR(__xludf.DUMMYFUNCTION("""COMPUTED_VALUE"""),"Model S P85D")</f>
        <v>Model S P85D</v>
      </c>
      <c r="C1056">
        <f ca="1">IFERROR(__xludf.DUMMYFUNCTION("""COMPUTED_VALUE"""),406)</f>
        <v>406</v>
      </c>
      <c r="D1056">
        <f ca="1">IFERROR(__xludf.DUMMYFUNCTION("""COMPUTED_VALUE"""),15237)</f>
        <v>15237</v>
      </c>
      <c r="E1056">
        <f ca="1">IFERROR(__xludf.DUMMYFUNCTION("""COMPUTED_VALUE"""),389)</f>
        <v>389</v>
      </c>
      <c r="F1056">
        <v>403</v>
      </c>
      <c r="G1056">
        <v>0.9652605459057072</v>
      </c>
      <c r="H1056">
        <v>9468</v>
      </c>
      <c r="I1056">
        <v>15237</v>
      </c>
      <c r="J1056">
        <v>9468</v>
      </c>
      <c r="K1056">
        <v>0.98976700447256949</v>
      </c>
      <c r="L1056">
        <f t="shared" ca="1" si="102"/>
        <v>241.71331900000001</v>
      </c>
      <c r="M1056">
        <f t="shared" si="102"/>
        <v>250.41251299999999</v>
      </c>
      <c r="N1056">
        <v>9468</v>
      </c>
      <c r="O1056">
        <f t="shared" ca="1" si="101"/>
        <v>0.96526054590570731</v>
      </c>
    </row>
    <row r="1057" spans="1:15" x14ac:dyDescent="0.2">
      <c r="A1057" t="str">
        <f ca="1">IFERROR(__xludf.DUMMYFUNCTION("""COMPUTED_VALUE"""),"km")</f>
        <v>km</v>
      </c>
      <c r="B1057" t="str">
        <f ca="1">IFERROR(__xludf.DUMMYFUNCTION("""COMPUTED_VALUE"""),"Model S 75")</f>
        <v>Model S 75</v>
      </c>
      <c r="D1057">
        <f ca="1">IFERROR(__xludf.DUMMYFUNCTION("""COMPUTED_VALUE"""),38288)</f>
        <v>38288</v>
      </c>
      <c r="E1057">
        <f ca="1">IFERROR(__xludf.DUMMYFUNCTION("""COMPUTED_VALUE"""),362)</f>
        <v>362</v>
      </c>
      <c r="F1057">
        <v>375</v>
      </c>
      <c r="G1057">
        <v>0.96533333333333338</v>
      </c>
      <c r="H1057">
        <v>23791</v>
      </c>
      <c r="I1057">
        <v>38288</v>
      </c>
      <c r="J1057">
        <v>23791</v>
      </c>
      <c r="K1057">
        <v>0.97509210428570703</v>
      </c>
      <c r="L1057">
        <f t="shared" ca="1" si="102"/>
        <v>224.93630200000001</v>
      </c>
      <c r="M1057">
        <f t="shared" si="102"/>
        <v>233.01412500000001</v>
      </c>
      <c r="N1057">
        <v>23791</v>
      </c>
      <c r="O1057">
        <f t="shared" ca="1" si="101"/>
        <v>0.96533333333333338</v>
      </c>
    </row>
    <row r="1058" spans="1:15" x14ac:dyDescent="0.2">
      <c r="A1058" t="str">
        <f ca="1">IFERROR(__xludf.DUMMYFUNCTION("""COMPUTED_VALUE"""),"km")</f>
        <v>km</v>
      </c>
      <c r="B1058" t="str">
        <f ca="1">IFERROR(__xludf.DUMMYFUNCTION("""COMPUTED_VALUE"""),"Model 3 P")</f>
        <v>Model 3 P</v>
      </c>
      <c r="C1058">
        <f ca="1">IFERROR(__xludf.DUMMYFUNCTION("""COMPUTED_VALUE"""),502)</f>
        <v>502</v>
      </c>
      <c r="D1058">
        <f ca="1">IFERROR(__xludf.DUMMYFUNCTION("""COMPUTED_VALUE"""),22344)</f>
        <v>22344</v>
      </c>
      <c r="E1058">
        <f ca="1">IFERROR(__xludf.DUMMYFUNCTION("""COMPUTED_VALUE"""),482)</f>
        <v>482</v>
      </c>
      <c r="F1058">
        <v>499</v>
      </c>
      <c r="G1058">
        <v>0.96593186372745488</v>
      </c>
      <c r="H1058">
        <v>13884</v>
      </c>
      <c r="I1058">
        <v>22344</v>
      </c>
      <c r="J1058">
        <v>13884</v>
      </c>
      <c r="K1058">
        <v>0.98513814886647233</v>
      </c>
      <c r="L1058">
        <f t="shared" ca="1" si="102"/>
        <v>299.50082200000003</v>
      </c>
      <c r="M1058">
        <f t="shared" si="102"/>
        <v>310.06412899999998</v>
      </c>
      <c r="N1058">
        <v>13884</v>
      </c>
      <c r="O1058">
        <f t="shared" ca="1" si="101"/>
        <v>0.9659318637274551</v>
      </c>
    </row>
    <row r="1059" spans="1:15" x14ac:dyDescent="0.2">
      <c r="A1059" t="str">
        <f ca="1">IFERROR(__xludf.DUMMYFUNCTION("""COMPUTED_VALUE"""),"km")</f>
        <v>km</v>
      </c>
      <c r="B1059" t="str">
        <f ca="1">IFERROR(__xludf.DUMMYFUNCTION("""COMPUTED_VALUE"""),"Model 3 LR AWD")</f>
        <v>Model 3 LR AWD</v>
      </c>
      <c r="C1059">
        <f ca="1">IFERROR(__xludf.DUMMYFUNCTION("""COMPUTED_VALUE"""),508)</f>
        <v>508</v>
      </c>
      <c r="D1059">
        <f ca="1">IFERROR(__xludf.DUMMYFUNCTION("""COMPUTED_VALUE"""),24102)</f>
        <v>24102</v>
      </c>
      <c r="E1059">
        <f ca="1">IFERROR(__xludf.DUMMYFUNCTION("""COMPUTED_VALUE"""),482)</f>
        <v>482</v>
      </c>
      <c r="F1059">
        <v>499</v>
      </c>
      <c r="G1059">
        <v>0.96593186372745488</v>
      </c>
      <c r="H1059">
        <v>14976</v>
      </c>
      <c r="I1059">
        <v>24102</v>
      </c>
      <c r="J1059">
        <v>14976</v>
      </c>
      <c r="K1059">
        <v>0.98400742098318572</v>
      </c>
      <c r="L1059">
        <f t="shared" ca="1" si="102"/>
        <v>299.50082200000003</v>
      </c>
      <c r="M1059">
        <f t="shared" si="102"/>
        <v>310.06412899999998</v>
      </c>
      <c r="N1059">
        <v>14976</v>
      </c>
      <c r="O1059">
        <f t="shared" ca="1" si="101"/>
        <v>0.9659318637274551</v>
      </c>
    </row>
    <row r="1060" spans="1:15" x14ac:dyDescent="0.2">
      <c r="A1060" t="str">
        <f ca="1">IFERROR(__xludf.DUMMYFUNCTION("""COMPUTED_VALUE"""),"mi")</f>
        <v>mi</v>
      </c>
      <c r="B1060" t="str">
        <f ca="1">IFERROR(__xludf.DUMMYFUNCTION("""COMPUTED_VALUE"""),"Model S 85")</f>
        <v>Model S 85</v>
      </c>
      <c r="C1060">
        <f ca="1">IFERROR(__xludf.DUMMYFUNCTION("""COMPUTED_VALUE"""),265)</f>
        <v>265</v>
      </c>
      <c r="D1060">
        <f ca="1">IFERROR(__xludf.DUMMYFUNCTION("""COMPUTED_VALUE"""),34428)</f>
        <v>34428</v>
      </c>
      <c r="E1060">
        <f ca="1">IFERROR(__xludf.DUMMYFUNCTION("""COMPUTED_VALUE"""),257)</f>
        <v>257</v>
      </c>
      <c r="F1060">
        <v>266</v>
      </c>
      <c r="G1060">
        <v>0.96616541353383456</v>
      </c>
      <c r="H1060">
        <v>34428</v>
      </c>
      <c r="I1060">
        <v>55406</v>
      </c>
      <c r="J1060">
        <v>34428</v>
      </c>
      <c r="K1060">
        <v>0.964835486989288</v>
      </c>
      <c r="L1060">
        <f ca="1">IFERROR(__xludf.DUMMYFUNCTION("""COMPUTED_VALUE"""),257)</f>
        <v>257</v>
      </c>
      <c r="M1060">
        <v>266</v>
      </c>
      <c r="N1060">
        <v>34428</v>
      </c>
      <c r="O1060">
        <f t="shared" ca="1" si="101"/>
        <v>0.96616541353383456</v>
      </c>
    </row>
    <row r="1061" spans="1:15" x14ac:dyDescent="0.2">
      <c r="A1061" t="str">
        <f ca="1">IFERROR(__xludf.DUMMYFUNCTION("""COMPUTED_VALUE"""),"mi")</f>
        <v>mi</v>
      </c>
      <c r="B1061" t="str">
        <f ca="1">IFERROR(__xludf.DUMMYFUNCTION("""COMPUTED_VALUE"""),"Model S P85")</f>
        <v>Model S P85</v>
      </c>
      <c r="D1061">
        <f ca="1">IFERROR(__xludf.DUMMYFUNCTION("""COMPUTED_VALUE"""),33666)</f>
        <v>33666</v>
      </c>
      <c r="E1061">
        <f ca="1">IFERROR(__xludf.DUMMYFUNCTION("""COMPUTED_VALUE"""),257)</f>
        <v>257</v>
      </c>
      <c r="F1061">
        <v>266</v>
      </c>
      <c r="G1061">
        <v>0.96616541353383456</v>
      </c>
      <c r="H1061">
        <v>33666</v>
      </c>
      <c r="I1061">
        <v>54180</v>
      </c>
      <c r="J1061">
        <v>33666</v>
      </c>
      <c r="K1061">
        <v>0.96555163442436709</v>
      </c>
      <c r="L1061">
        <f ca="1">IFERROR(__xludf.DUMMYFUNCTION("""COMPUTED_VALUE"""),257)</f>
        <v>257</v>
      </c>
      <c r="M1061">
        <v>266</v>
      </c>
      <c r="N1061">
        <v>33666</v>
      </c>
      <c r="O1061">
        <f t="shared" ca="1" si="101"/>
        <v>0.96616541353383456</v>
      </c>
    </row>
    <row r="1062" spans="1:15" x14ac:dyDescent="0.2">
      <c r="A1062" t="str">
        <f ca="1">IFERROR(__xludf.DUMMYFUNCTION("""COMPUTED_VALUE"""),"mi")</f>
        <v>mi</v>
      </c>
      <c r="B1062" t="str">
        <f ca="1">IFERROR(__xludf.DUMMYFUNCTION("""COMPUTED_VALUE"""),"Model S 85")</f>
        <v>Model S 85</v>
      </c>
      <c r="C1062">
        <f ca="1">IFERROR(__xludf.DUMMYFUNCTION("""COMPUTED_VALUE"""),265)</f>
        <v>265</v>
      </c>
      <c r="D1062">
        <f ca="1">IFERROR(__xludf.DUMMYFUNCTION("""COMPUTED_VALUE"""),25283)</f>
        <v>25283</v>
      </c>
      <c r="E1062">
        <f ca="1">IFERROR(__xludf.DUMMYFUNCTION("""COMPUTED_VALUE"""),257)</f>
        <v>257</v>
      </c>
      <c r="F1062">
        <v>266</v>
      </c>
      <c r="G1062">
        <v>0.96616541353383456</v>
      </c>
      <c r="H1062">
        <v>25283</v>
      </c>
      <c r="I1062">
        <v>40689</v>
      </c>
      <c r="J1062">
        <v>25283</v>
      </c>
      <c r="K1062">
        <v>0.97362022683781124</v>
      </c>
      <c r="L1062">
        <f ca="1">IFERROR(__xludf.DUMMYFUNCTION("""COMPUTED_VALUE"""),257)</f>
        <v>257</v>
      </c>
      <c r="M1062">
        <v>266</v>
      </c>
      <c r="N1062">
        <v>25283</v>
      </c>
      <c r="O1062">
        <f t="shared" ca="1" si="101"/>
        <v>0.96616541353383456</v>
      </c>
    </row>
    <row r="1063" spans="1:15" x14ac:dyDescent="0.2">
      <c r="A1063" t="str">
        <f ca="1">IFERROR(__xludf.DUMMYFUNCTION("""COMPUTED_VALUE"""),"mi")</f>
        <v>mi</v>
      </c>
      <c r="B1063" t="str">
        <f ca="1">IFERROR(__xludf.DUMMYFUNCTION("""COMPUTED_VALUE"""),"Model S P85")</f>
        <v>Model S P85</v>
      </c>
      <c r="C1063">
        <f ca="1">IFERROR(__xludf.DUMMYFUNCTION("""COMPUTED_VALUE"""),272)</f>
        <v>272</v>
      </c>
      <c r="D1063">
        <f ca="1">IFERROR(__xludf.DUMMYFUNCTION("""COMPUTED_VALUE"""),44950)</f>
        <v>44950</v>
      </c>
      <c r="E1063">
        <f ca="1">IFERROR(__xludf.DUMMYFUNCTION("""COMPUTED_VALUE"""),257)</f>
        <v>257</v>
      </c>
      <c r="F1063">
        <v>266</v>
      </c>
      <c r="G1063">
        <v>0.96616541353383456</v>
      </c>
      <c r="H1063">
        <v>44950</v>
      </c>
      <c r="I1063">
        <v>72340</v>
      </c>
      <c r="J1063">
        <v>44950</v>
      </c>
      <c r="K1063">
        <v>0.95523854740648129</v>
      </c>
      <c r="L1063">
        <f ca="1">IFERROR(__xludf.DUMMYFUNCTION("""COMPUTED_VALUE"""),257)</f>
        <v>257</v>
      </c>
      <c r="M1063">
        <v>266</v>
      </c>
      <c r="N1063">
        <v>44950</v>
      </c>
      <c r="O1063">
        <f t="shared" ca="1" si="101"/>
        <v>0.96616541353383456</v>
      </c>
    </row>
    <row r="1064" spans="1:15" x14ac:dyDescent="0.2">
      <c r="A1064" t="str">
        <f ca="1">IFERROR(__xludf.DUMMYFUNCTION("""COMPUTED_VALUE"""),"mi")</f>
        <v>mi</v>
      </c>
      <c r="B1064" t="str">
        <f ca="1">IFERROR(__xludf.DUMMYFUNCTION("""COMPUTED_VALUE"""),"Model S P85")</f>
        <v>Model S P85</v>
      </c>
      <c r="C1064">
        <f ca="1">IFERROR(__xludf.DUMMYFUNCTION("""COMPUTED_VALUE"""),272)</f>
        <v>272</v>
      </c>
      <c r="D1064">
        <f ca="1">IFERROR(__xludf.DUMMYFUNCTION("""COMPUTED_VALUE"""),42042)</f>
        <v>42042</v>
      </c>
      <c r="E1064">
        <f ca="1">IFERROR(__xludf.DUMMYFUNCTION("""COMPUTED_VALUE"""),257)</f>
        <v>257</v>
      </c>
      <c r="F1064">
        <v>266</v>
      </c>
      <c r="G1064">
        <v>0.96616541353383456</v>
      </c>
      <c r="H1064">
        <v>42042</v>
      </c>
      <c r="I1064">
        <v>67660</v>
      </c>
      <c r="J1064">
        <v>42042</v>
      </c>
      <c r="K1064">
        <v>0.95783557304877553</v>
      </c>
      <c r="L1064">
        <f ca="1">IFERROR(__xludf.DUMMYFUNCTION("""COMPUTED_VALUE"""),257)</f>
        <v>257</v>
      </c>
      <c r="M1064">
        <v>266</v>
      </c>
      <c r="N1064">
        <v>42042</v>
      </c>
      <c r="O1064">
        <f t="shared" ca="1" si="101"/>
        <v>0.96616541353383456</v>
      </c>
    </row>
    <row r="1065" spans="1:15" x14ac:dyDescent="0.2">
      <c r="A1065" t="str">
        <f ca="1">IFERROR(__xludf.DUMMYFUNCTION("""COMPUTED_VALUE"""),"km")</f>
        <v>km</v>
      </c>
      <c r="B1065" t="str">
        <f ca="1">IFERROR(__xludf.DUMMYFUNCTION("""COMPUTED_VALUE"""),"Model S 90D")</f>
        <v>Model S 90D</v>
      </c>
      <c r="C1065">
        <f ca="1">IFERROR(__xludf.DUMMYFUNCTION("""COMPUTED_VALUE"""),500)</f>
        <v>500</v>
      </c>
      <c r="D1065">
        <f ca="1">IFERROR(__xludf.DUMMYFUNCTION("""COMPUTED_VALUE"""),432)</f>
        <v>432</v>
      </c>
      <c r="E1065">
        <f ca="1">IFERROR(__xludf.DUMMYFUNCTION("""COMPUTED_VALUE"""),432)</f>
        <v>432</v>
      </c>
      <c r="F1065">
        <v>447</v>
      </c>
      <c r="G1065">
        <v>0.96644295302013428</v>
      </c>
      <c r="H1065">
        <v>268</v>
      </c>
      <c r="I1065">
        <v>432</v>
      </c>
      <c r="J1065">
        <v>268</v>
      </c>
      <c r="K1065">
        <v>0.9997041169514902</v>
      </c>
      <c r="L1065">
        <f t="shared" ref="L1065:L1073" ca="1" si="103">E1065*0.621371</f>
        <v>268.43227200000001</v>
      </c>
      <c r="M1065">
        <f t="shared" ref="M1065:M1073" si="104">F1065*0.621371</f>
        <v>277.752837</v>
      </c>
      <c r="N1065">
        <v>268</v>
      </c>
      <c r="O1065">
        <f t="shared" ca="1" si="101"/>
        <v>0.96644295302013428</v>
      </c>
    </row>
    <row r="1066" spans="1:15" x14ac:dyDescent="0.2">
      <c r="A1066" t="str">
        <f ca="1">IFERROR(__xludf.DUMMYFUNCTION("""COMPUTED_VALUE"""),"km")</f>
        <v>km</v>
      </c>
      <c r="B1066" t="str">
        <f ca="1">IFERROR(__xludf.DUMMYFUNCTION("""COMPUTED_VALUE"""),"Model S 90D")</f>
        <v>Model S 90D</v>
      </c>
      <c r="C1066">
        <f ca="1">IFERROR(__xludf.DUMMYFUNCTION("""COMPUTED_VALUE"""),500)</f>
        <v>500</v>
      </c>
      <c r="D1066">
        <f ca="1">IFERROR(__xludf.DUMMYFUNCTION("""COMPUTED_VALUE"""),21000)</f>
        <v>21000</v>
      </c>
      <c r="E1066">
        <f ca="1">IFERROR(__xludf.DUMMYFUNCTION("""COMPUTED_VALUE"""),432)</f>
        <v>432</v>
      </c>
      <c r="F1066">
        <v>447</v>
      </c>
      <c r="G1066">
        <v>0.96644295302013428</v>
      </c>
      <c r="H1066">
        <v>13049</v>
      </c>
      <c r="I1066">
        <v>21000</v>
      </c>
      <c r="J1066">
        <v>13049</v>
      </c>
      <c r="K1066">
        <v>0.98600642291021556</v>
      </c>
      <c r="L1066">
        <f t="shared" ca="1" si="103"/>
        <v>268.43227200000001</v>
      </c>
      <c r="M1066">
        <f t="shared" si="104"/>
        <v>277.752837</v>
      </c>
      <c r="N1066">
        <v>13049</v>
      </c>
      <c r="O1066">
        <f t="shared" ca="1" si="101"/>
        <v>0.96644295302013428</v>
      </c>
    </row>
    <row r="1067" spans="1:15" x14ac:dyDescent="0.2">
      <c r="A1067" t="str">
        <f ca="1">IFERROR(__xludf.DUMMYFUNCTION("""COMPUTED_VALUE"""),"km")</f>
        <v>km</v>
      </c>
      <c r="B1067" t="str">
        <f ca="1">IFERROR(__xludf.DUMMYFUNCTION("""COMPUTED_VALUE"""),"Model S 90D")</f>
        <v>Model S 90D</v>
      </c>
      <c r="D1067">
        <f ca="1">IFERROR(__xludf.DUMMYFUNCTION("""COMPUTED_VALUE"""),37740)</f>
        <v>37740</v>
      </c>
      <c r="E1067">
        <f ca="1">IFERROR(__xludf.DUMMYFUNCTION("""COMPUTED_VALUE"""),432)</f>
        <v>432</v>
      </c>
      <c r="F1067">
        <v>447</v>
      </c>
      <c r="G1067">
        <v>0.96644295302013428</v>
      </c>
      <c r="H1067">
        <v>23451</v>
      </c>
      <c r="I1067">
        <v>37740</v>
      </c>
      <c r="J1067">
        <v>23451</v>
      </c>
      <c r="K1067">
        <v>0.9754295542812943</v>
      </c>
      <c r="L1067">
        <f t="shared" ca="1" si="103"/>
        <v>268.43227200000001</v>
      </c>
      <c r="M1067">
        <f t="shared" si="104"/>
        <v>277.752837</v>
      </c>
      <c r="N1067">
        <v>23451</v>
      </c>
      <c r="O1067">
        <f t="shared" ca="1" si="101"/>
        <v>0.96644295302013428</v>
      </c>
    </row>
    <row r="1068" spans="1:15" x14ac:dyDescent="0.2">
      <c r="A1068" t="str">
        <f ca="1">IFERROR(__xludf.DUMMYFUNCTION("""COMPUTED_VALUE"""),"km")</f>
        <v>km</v>
      </c>
      <c r="B1068" t="str">
        <f ca="1">IFERROR(__xludf.DUMMYFUNCTION("""COMPUTED_VALUE"""),"Model S 90D")</f>
        <v>Model S 90D</v>
      </c>
      <c r="C1068">
        <f ca="1">IFERROR(__xludf.DUMMYFUNCTION("""COMPUTED_VALUE"""),463)</f>
        <v>463</v>
      </c>
      <c r="D1068">
        <f ca="1">IFERROR(__xludf.DUMMYFUNCTION("""COMPUTED_VALUE"""),34000)</f>
        <v>34000</v>
      </c>
      <c r="E1068">
        <f ca="1">IFERROR(__xludf.DUMMYFUNCTION("""COMPUTED_VALUE"""),432)</f>
        <v>432</v>
      </c>
      <c r="F1068">
        <v>447</v>
      </c>
      <c r="G1068">
        <v>0.96644295302013428</v>
      </c>
      <c r="H1068">
        <v>21127</v>
      </c>
      <c r="I1068">
        <v>34000</v>
      </c>
      <c r="J1068">
        <v>21127</v>
      </c>
      <c r="K1068">
        <v>0.97774754847172862</v>
      </c>
      <c r="L1068">
        <f t="shared" ca="1" si="103"/>
        <v>268.43227200000001</v>
      </c>
      <c r="M1068">
        <f t="shared" si="104"/>
        <v>277.752837</v>
      </c>
      <c r="N1068">
        <v>21127</v>
      </c>
      <c r="O1068">
        <f t="shared" ca="1" si="101"/>
        <v>0.96644295302013428</v>
      </c>
    </row>
    <row r="1069" spans="1:15" x14ac:dyDescent="0.2">
      <c r="A1069" t="str">
        <f ca="1">IFERROR(__xludf.DUMMYFUNCTION("""COMPUTED_VALUE"""),"km")</f>
        <v>km</v>
      </c>
      <c r="B1069" t="str">
        <f ca="1">IFERROR(__xludf.DUMMYFUNCTION("""COMPUTED_VALUE"""),"Model S 90D")</f>
        <v>Model S 90D</v>
      </c>
      <c r="C1069">
        <f ca="1">IFERROR(__xludf.DUMMYFUNCTION("""COMPUTED_VALUE"""),448)</f>
        <v>448</v>
      </c>
      <c r="D1069">
        <f ca="1">IFERROR(__xludf.DUMMYFUNCTION("""COMPUTED_VALUE"""),50153)</f>
        <v>50153</v>
      </c>
      <c r="E1069">
        <f ca="1">IFERROR(__xludf.DUMMYFUNCTION("""COMPUTED_VALUE"""),432)</f>
        <v>432</v>
      </c>
      <c r="F1069">
        <v>447</v>
      </c>
      <c r="G1069">
        <v>0.96644295302013428</v>
      </c>
      <c r="H1069">
        <v>31164</v>
      </c>
      <c r="I1069">
        <v>50153</v>
      </c>
      <c r="J1069">
        <v>31164</v>
      </c>
      <c r="K1069">
        <v>0.96792404645199093</v>
      </c>
      <c r="L1069">
        <f t="shared" ca="1" si="103"/>
        <v>268.43227200000001</v>
      </c>
      <c r="M1069">
        <f t="shared" si="104"/>
        <v>277.752837</v>
      </c>
      <c r="N1069">
        <v>31164</v>
      </c>
      <c r="O1069">
        <f t="shared" ca="1" si="101"/>
        <v>0.96644295302013428</v>
      </c>
    </row>
    <row r="1070" spans="1:15" x14ac:dyDescent="0.2">
      <c r="A1070" t="str">
        <f ca="1">IFERROR(__xludf.DUMMYFUNCTION("""COMPUTED_VALUE"""),"km")</f>
        <v>km</v>
      </c>
      <c r="B1070" t="str">
        <f ca="1">IFERROR(__xludf.DUMMYFUNCTION("""COMPUTED_VALUE"""),"Model S 90D")</f>
        <v>Model S 90D</v>
      </c>
      <c r="C1070">
        <f ca="1">IFERROR(__xludf.DUMMYFUNCTION("""COMPUTED_VALUE"""),448)</f>
        <v>448</v>
      </c>
      <c r="D1070">
        <f ca="1">IFERROR(__xludf.DUMMYFUNCTION("""COMPUTED_VALUE"""),25581)</f>
        <v>25581</v>
      </c>
      <c r="E1070">
        <f ca="1">IFERROR(__xludf.DUMMYFUNCTION("""COMPUTED_VALUE"""),432)</f>
        <v>432</v>
      </c>
      <c r="F1070">
        <v>447</v>
      </c>
      <c r="G1070">
        <v>0.96644295302013428</v>
      </c>
      <c r="H1070">
        <v>15895</v>
      </c>
      <c r="I1070">
        <v>25581</v>
      </c>
      <c r="J1070">
        <v>15895</v>
      </c>
      <c r="K1070">
        <v>0.98306054516048147</v>
      </c>
      <c r="L1070">
        <f t="shared" ca="1" si="103"/>
        <v>268.43227200000001</v>
      </c>
      <c r="M1070">
        <f t="shared" si="104"/>
        <v>277.752837</v>
      </c>
      <c r="N1070">
        <v>15895</v>
      </c>
      <c r="O1070">
        <f t="shared" ca="1" si="101"/>
        <v>0.96644295302013428</v>
      </c>
    </row>
    <row r="1071" spans="1:15" x14ac:dyDescent="0.2">
      <c r="A1071" t="str">
        <f ca="1">IFERROR(__xludf.DUMMYFUNCTION("""COMPUTED_VALUE"""),"km")</f>
        <v>km</v>
      </c>
      <c r="B1071" t="str">
        <f ca="1">IFERROR(__xludf.DUMMYFUNCTION("""COMPUTED_VALUE"""),"Model S 90D")</f>
        <v>Model S 90D</v>
      </c>
      <c r="C1071">
        <f ca="1">IFERROR(__xludf.DUMMYFUNCTION("""COMPUTED_VALUE"""),426)</f>
        <v>426</v>
      </c>
      <c r="D1071">
        <f ca="1">IFERROR(__xludf.DUMMYFUNCTION("""COMPUTED_VALUE"""),24331)</f>
        <v>24331</v>
      </c>
      <c r="E1071">
        <f ca="1">IFERROR(__xludf.DUMMYFUNCTION("""COMPUTED_VALUE"""),432)</f>
        <v>432</v>
      </c>
      <c r="F1071">
        <v>447</v>
      </c>
      <c r="G1071">
        <v>0.96644295302013428</v>
      </c>
      <c r="H1071">
        <v>15119</v>
      </c>
      <c r="I1071">
        <v>24331</v>
      </c>
      <c r="J1071">
        <v>15119</v>
      </c>
      <c r="K1071">
        <v>0.98386054868146533</v>
      </c>
      <c r="L1071">
        <f t="shared" ca="1" si="103"/>
        <v>268.43227200000001</v>
      </c>
      <c r="M1071">
        <f t="shared" si="104"/>
        <v>277.752837</v>
      </c>
      <c r="N1071">
        <v>15119</v>
      </c>
      <c r="O1071">
        <f t="shared" ca="1" si="101"/>
        <v>0.96644295302013428</v>
      </c>
    </row>
    <row r="1072" spans="1:15" x14ac:dyDescent="0.2">
      <c r="A1072" t="str">
        <f ca="1">IFERROR(__xludf.DUMMYFUNCTION("""COMPUTED_VALUE"""),"km")</f>
        <v>km</v>
      </c>
      <c r="B1072" t="str">
        <f ca="1">IFERROR(__xludf.DUMMYFUNCTION("""COMPUTED_VALUE"""),"Model X 100D")</f>
        <v>Model X 100D</v>
      </c>
      <c r="D1072">
        <f ca="1">IFERROR(__xludf.DUMMYFUNCTION("""COMPUTED_VALUE"""),51680)</f>
        <v>51680</v>
      </c>
      <c r="E1072">
        <f ca="1">IFERROR(__xludf.DUMMYFUNCTION("""COMPUTED_VALUE"""),433)</f>
        <v>433</v>
      </c>
      <c r="F1072">
        <v>448</v>
      </c>
      <c r="G1072">
        <v>0.9665178571428571</v>
      </c>
      <c r="H1072">
        <v>32112</v>
      </c>
      <c r="I1072">
        <v>51680</v>
      </c>
      <c r="J1072">
        <v>32112</v>
      </c>
      <c r="K1072">
        <v>0.96702082692726998</v>
      </c>
      <c r="L1072">
        <f t="shared" ca="1" si="103"/>
        <v>269.05364300000002</v>
      </c>
      <c r="M1072">
        <f t="shared" si="104"/>
        <v>278.37420800000001</v>
      </c>
      <c r="N1072">
        <v>32112</v>
      </c>
      <c r="O1072">
        <f t="shared" ca="1" si="101"/>
        <v>0.96651785714285721</v>
      </c>
    </row>
    <row r="1073" spans="1:15" x14ac:dyDescent="0.2">
      <c r="A1073" t="str">
        <f ca="1">IFERROR(__xludf.DUMMYFUNCTION("""COMPUTED_VALUE"""),"km")</f>
        <v>km</v>
      </c>
      <c r="B1073" t="str">
        <f ca="1">IFERROR(__xludf.DUMMYFUNCTION("""COMPUTED_VALUE"""),"Model X 100D")</f>
        <v>Model X 100D</v>
      </c>
      <c r="D1073">
        <f ca="1">IFERROR(__xludf.DUMMYFUNCTION("""COMPUTED_VALUE"""),51680)</f>
        <v>51680</v>
      </c>
      <c r="E1073">
        <f ca="1">IFERROR(__xludf.DUMMYFUNCTION("""COMPUTED_VALUE"""),433)</f>
        <v>433</v>
      </c>
      <c r="F1073">
        <v>448</v>
      </c>
      <c r="G1073">
        <v>0.9665178571428571</v>
      </c>
      <c r="H1073">
        <v>32112</v>
      </c>
      <c r="I1073">
        <v>51680</v>
      </c>
      <c r="J1073">
        <v>32112</v>
      </c>
      <c r="K1073">
        <v>0.96702082692726998</v>
      </c>
      <c r="L1073">
        <f t="shared" ca="1" si="103"/>
        <v>269.05364300000002</v>
      </c>
      <c r="M1073">
        <f t="shared" si="104"/>
        <v>278.37420800000001</v>
      </c>
      <c r="N1073">
        <v>32112</v>
      </c>
      <c r="O1073">
        <f t="shared" ca="1" si="101"/>
        <v>0.96651785714285721</v>
      </c>
    </row>
    <row r="1074" spans="1:15" x14ac:dyDescent="0.2">
      <c r="A1074" t="str">
        <f ca="1">IFERROR(__xludf.DUMMYFUNCTION("""COMPUTED_VALUE"""),"mi")</f>
        <v>mi</v>
      </c>
      <c r="B1074" t="str">
        <f ca="1">IFERROR(__xludf.DUMMYFUNCTION("""COMPUTED_VALUE"""),"Model S 85D")</f>
        <v>Model S 85D</v>
      </c>
      <c r="D1074">
        <f ca="1">IFERROR(__xludf.DUMMYFUNCTION("""COMPUTED_VALUE"""),42798)</f>
        <v>42798</v>
      </c>
      <c r="E1074">
        <f ca="1">IFERROR(__xludf.DUMMYFUNCTION("""COMPUTED_VALUE"""),261)</f>
        <v>261</v>
      </c>
      <c r="F1074">
        <v>270</v>
      </c>
      <c r="G1074">
        <v>0.96666666666666667</v>
      </c>
      <c r="H1074">
        <v>42798</v>
      </c>
      <c r="I1074">
        <v>68877</v>
      </c>
      <c r="J1074">
        <v>42798</v>
      </c>
      <c r="K1074">
        <v>0.95715615425633727</v>
      </c>
      <c r="L1074">
        <f ca="1">IFERROR(__xludf.DUMMYFUNCTION("""COMPUTED_VALUE"""),261)</f>
        <v>261</v>
      </c>
      <c r="M1074">
        <v>270</v>
      </c>
      <c r="N1074">
        <v>42798</v>
      </c>
      <c r="O1074">
        <f t="shared" ca="1" si="101"/>
        <v>0.96666666666666667</v>
      </c>
    </row>
    <row r="1075" spans="1:15" x14ac:dyDescent="0.2">
      <c r="A1075" t="str">
        <f ca="1">IFERROR(__xludf.DUMMYFUNCTION("""COMPUTED_VALUE"""),"mi")</f>
        <v>mi</v>
      </c>
      <c r="B1075" t="str">
        <f ca="1">IFERROR(__xludf.DUMMYFUNCTION("""COMPUTED_VALUE"""),"Model S 85D")</f>
        <v>Model S 85D</v>
      </c>
      <c r="C1075">
        <f ca="1">IFERROR(__xludf.DUMMYFUNCTION("""COMPUTED_VALUE"""),272)</f>
        <v>272</v>
      </c>
      <c r="D1075">
        <f ca="1">IFERROR(__xludf.DUMMYFUNCTION("""COMPUTED_VALUE"""),37951)</f>
        <v>37951</v>
      </c>
      <c r="E1075">
        <f ca="1">IFERROR(__xludf.DUMMYFUNCTION("""COMPUTED_VALUE"""),261)</f>
        <v>261</v>
      </c>
      <c r="F1075">
        <v>270</v>
      </c>
      <c r="G1075">
        <v>0.96666666666666667</v>
      </c>
      <c r="H1075">
        <v>37951</v>
      </c>
      <c r="I1075">
        <v>61076</v>
      </c>
      <c r="J1075">
        <v>37951</v>
      </c>
      <c r="K1075">
        <v>0.96156077085544567</v>
      </c>
      <c r="L1075">
        <f ca="1">IFERROR(__xludf.DUMMYFUNCTION("""COMPUTED_VALUE"""),261)</f>
        <v>261</v>
      </c>
      <c r="M1075">
        <v>270</v>
      </c>
      <c r="N1075">
        <v>37951</v>
      </c>
      <c r="O1075">
        <f t="shared" ca="1" si="101"/>
        <v>0.96666666666666667</v>
      </c>
    </row>
    <row r="1076" spans="1:15" x14ac:dyDescent="0.2">
      <c r="A1076" t="str">
        <f ca="1">IFERROR(__xludf.DUMMYFUNCTION("""COMPUTED_VALUE"""),"mi")</f>
        <v>mi</v>
      </c>
      <c r="B1076" t="str">
        <f ca="1">IFERROR(__xludf.DUMMYFUNCTION("""COMPUTED_VALUE"""),"Model S 85D")</f>
        <v>Model S 85D</v>
      </c>
      <c r="C1076">
        <f ca="1">IFERROR(__xludf.DUMMYFUNCTION("""COMPUTED_VALUE"""),270)</f>
        <v>270</v>
      </c>
      <c r="D1076">
        <f ca="1">IFERROR(__xludf.DUMMYFUNCTION("""COMPUTED_VALUE"""),21000)</f>
        <v>21000</v>
      </c>
      <c r="E1076">
        <f ca="1">IFERROR(__xludf.DUMMYFUNCTION("""COMPUTED_VALUE"""),261)</f>
        <v>261</v>
      </c>
      <c r="F1076">
        <v>270</v>
      </c>
      <c r="G1076">
        <v>0.96666666666666667</v>
      </c>
      <c r="H1076">
        <v>21000</v>
      </c>
      <c r="I1076">
        <v>33796</v>
      </c>
      <c r="J1076">
        <v>21000</v>
      </c>
      <c r="K1076">
        <v>0.97787473375835754</v>
      </c>
      <c r="L1076">
        <f ca="1">IFERROR(__xludf.DUMMYFUNCTION("""COMPUTED_VALUE"""),261)</f>
        <v>261</v>
      </c>
      <c r="M1076">
        <v>270</v>
      </c>
      <c r="N1076">
        <v>21000</v>
      </c>
      <c r="O1076">
        <f t="shared" ca="1" si="101"/>
        <v>0.96666666666666667</v>
      </c>
    </row>
    <row r="1077" spans="1:15" x14ac:dyDescent="0.2">
      <c r="A1077" t="str">
        <f ca="1">IFERROR(__xludf.DUMMYFUNCTION("""COMPUTED_VALUE"""),"mi")</f>
        <v>mi</v>
      </c>
      <c r="B1077" t="str">
        <f ca="1">IFERROR(__xludf.DUMMYFUNCTION("""COMPUTED_VALUE"""),"Model S 85D")</f>
        <v>Model S 85D</v>
      </c>
      <c r="D1077">
        <f ca="1">IFERROR(__xludf.DUMMYFUNCTION("""COMPUTED_VALUE"""),9634)</f>
        <v>9634</v>
      </c>
      <c r="E1077">
        <f ca="1">IFERROR(__xludf.DUMMYFUNCTION("""COMPUTED_VALUE"""),261)</f>
        <v>261</v>
      </c>
      <c r="F1077">
        <v>270</v>
      </c>
      <c r="G1077">
        <v>0.96666666666666667</v>
      </c>
      <c r="H1077">
        <v>9634</v>
      </c>
      <c r="I1077">
        <v>15504</v>
      </c>
      <c r="J1077">
        <v>9634</v>
      </c>
      <c r="K1077">
        <v>0.98959143762274382</v>
      </c>
      <c r="L1077">
        <f ca="1">IFERROR(__xludf.DUMMYFUNCTION("""COMPUTED_VALUE"""),261)</f>
        <v>261</v>
      </c>
      <c r="M1077">
        <v>270</v>
      </c>
      <c r="N1077">
        <v>9634</v>
      </c>
      <c r="O1077">
        <f t="shared" ca="1" si="101"/>
        <v>0.96666666666666667</v>
      </c>
    </row>
    <row r="1078" spans="1:15" x14ac:dyDescent="0.2">
      <c r="A1078" t="str">
        <f ca="1">IFERROR(__xludf.DUMMYFUNCTION("""COMPUTED_VALUE"""),"mi")</f>
        <v>mi</v>
      </c>
      <c r="B1078" t="str">
        <f ca="1">IFERROR(__xludf.DUMMYFUNCTION("""COMPUTED_VALUE"""),"Model S 85D")</f>
        <v>Model S 85D</v>
      </c>
      <c r="C1078">
        <f ca="1">IFERROR(__xludf.DUMMYFUNCTION("""COMPUTED_VALUE"""),270)</f>
        <v>270</v>
      </c>
      <c r="D1078">
        <f ca="1">IFERROR(__xludf.DUMMYFUNCTION("""COMPUTED_VALUE"""),12500)</f>
        <v>12500</v>
      </c>
      <c r="E1078">
        <f ca="1">IFERROR(__xludf.DUMMYFUNCTION("""COMPUTED_VALUE"""),261)</f>
        <v>261</v>
      </c>
      <c r="F1078">
        <v>270</v>
      </c>
      <c r="G1078">
        <v>0.96666666666666667</v>
      </c>
      <c r="H1078">
        <v>12500</v>
      </c>
      <c r="I1078">
        <v>20117</v>
      </c>
      <c r="J1078">
        <v>12500</v>
      </c>
      <c r="K1078">
        <v>0.98657867605626981</v>
      </c>
      <c r="L1078">
        <f ca="1">IFERROR(__xludf.DUMMYFUNCTION("""COMPUTED_VALUE"""),261)</f>
        <v>261</v>
      </c>
      <c r="M1078">
        <v>270</v>
      </c>
      <c r="N1078">
        <v>12500</v>
      </c>
      <c r="O1078">
        <f t="shared" ca="1" si="101"/>
        <v>0.96666666666666667</v>
      </c>
    </row>
    <row r="1079" spans="1:15" x14ac:dyDescent="0.2">
      <c r="A1079" t="str">
        <f ca="1">IFERROR(__xludf.DUMMYFUNCTION("""COMPUTED_VALUE"""),"km")</f>
        <v>km</v>
      </c>
      <c r="B1079" t="str">
        <f ca="1">IFERROR(__xludf.DUMMYFUNCTION("""COMPUTED_VALUE"""),"Model S 70D")</f>
        <v>Model S 70D</v>
      </c>
      <c r="D1079">
        <f ca="1">IFERROR(__xludf.DUMMYFUNCTION("""COMPUTED_VALUE"""),98500)</f>
        <v>98500</v>
      </c>
      <c r="E1079">
        <f ca="1">IFERROR(__xludf.DUMMYFUNCTION("""COMPUTED_VALUE"""),348)</f>
        <v>348</v>
      </c>
      <c r="F1079">
        <v>360</v>
      </c>
      <c r="G1079">
        <v>0.96666666666666667</v>
      </c>
      <c r="H1079">
        <v>61205</v>
      </c>
      <c r="I1079">
        <v>98500</v>
      </c>
      <c r="J1079">
        <v>61205</v>
      </c>
      <c r="K1079">
        <v>0.94151192172565223</v>
      </c>
      <c r="L1079">
        <f t="shared" ref="L1079:L1111" ca="1" si="105">E1079*0.621371</f>
        <v>216.23710800000001</v>
      </c>
      <c r="M1079">
        <f t="shared" ref="M1079:M1111" si="106">F1079*0.621371</f>
        <v>223.69355999999999</v>
      </c>
      <c r="N1079">
        <v>61205</v>
      </c>
      <c r="O1079">
        <f t="shared" ca="1" si="101"/>
        <v>0.96666666666666679</v>
      </c>
    </row>
    <row r="1080" spans="1:15" x14ac:dyDescent="0.2">
      <c r="A1080" t="str">
        <f ca="1">IFERROR(__xludf.DUMMYFUNCTION("""COMPUTED_VALUE"""),"km")</f>
        <v>km</v>
      </c>
      <c r="B1080" t="str">
        <f ca="1">IFERROR(__xludf.DUMMYFUNCTION("""COMPUTED_VALUE"""),"Model S 70D")</f>
        <v>Model S 70D</v>
      </c>
      <c r="C1080">
        <f ca="1">IFERROR(__xludf.DUMMYFUNCTION("""COMPUTED_VALUE"""),355)</f>
        <v>355</v>
      </c>
      <c r="D1080">
        <f ca="1">IFERROR(__xludf.DUMMYFUNCTION("""COMPUTED_VALUE"""),110000)</f>
        <v>110000</v>
      </c>
      <c r="E1080">
        <f ca="1">IFERROR(__xludf.DUMMYFUNCTION("""COMPUTED_VALUE"""),348)</f>
        <v>348</v>
      </c>
      <c r="F1080">
        <v>360</v>
      </c>
      <c r="G1080">
        <v>0.96666666666666667</v>
      </c>
      <c r="H1080">
        <v>68351</v>
      </c>
      <c r="I1080">
        <v>110000</v>
      </c>
      <c r="J1080">
        <v>68351</v>
      </c>
      <c r="K1080">
        <v>0.93590864771648052</v>
      </c>
      <c r="L1080">
        <f t="shared" ca="1" si="105"/>
        <v>216.23710800000001</v>
      </c>
      <c r="M1080">
        <f t="shared" si="106"/>
        <v>223.69355999999999</v>
      </c>
      <c r="N1080">
        <v>68351</v>
      </c>
      <c r="O1080">
        <f t="shared" ca="1" si="101"/>
        <v>0.96666666666666679</v>
      </c>
    </row>
    <row r="1081" spans="1:15" x14ac:dyDescent="0.2">
      <c r="A1081" t="str">
        <f ca="1">IFERROR(__xludf.DUMMYFUNCTION("""COMPUTED_VALUE"""),"km")</f>
        <v>km</v>
      </c>
      <c r="B1081" t="str">
        <f ca="1">IFERROR(__xludf.DUMMYFUNCTION("""COMPUTED_VALUE"""),"Model S 70D")</f>
        <v>Model S 70D</v>
      </c>
      <c r="C1081">
        <f ca="1">IFERROR(__xludf.DUMMYFUNCTION("""COMPUTED_VALUE"""),360)</f>
        <v>360</v>
      </c>
      <c r="D1081">
        <f ca="1">IFERROR(__xludf.DUMMYFUNCTION("""COMPUTED_VALUE"""),45754)</f>
        <v>45754</v>
      </c>
      <c r="E1081">
        <f ca="1">IFERROR(__xludf.DUMMYFUNCTION("""COMPUTED_VALUE"""),348)</f>
        <v>348</v>
      </c>
      <c r="F1081">
        <v>360</v>
      </c>
      <c r="G1081">
        <v>0.96666666666666667</v>
      </c>
      <c r="H1081">
        <v>28430</v>
      </c>
      <c r="I1081">
        <v>45754</v>
      </c>
      <c r="J1081">
        <v>28430</v>
      </c>
      <c r="K1081">
        <v>0.97055071713380592</v>
      </c>
      <c r="L1081">
        <f t="shared" ca="1" si="105"/>
        <v>216.23710800000001</v>
      </c>
      <c r="M1081">
        <f t="shared" si="106"/>
        <v>223.69355999999999</v>
      </c>
      <c r="N1081">
        <v>28430</v>
      </c>
      <c r="O1081">
        <f t="shared" ca="1" si="101"/>
        <v>0.96666666666666679</v>
      </c>
    </row>
    <row r="1082" spans="1:15" x14ac:dyDescent="0.2">
      <c r="A1082" t="str">
        <f ca="1">IFERROR(__xludf.DUMMYFUNCTION("""COMPUTED_VALUE"""),"km")</f>
        <v>km</v>
      </c>
      <c r="B1082" t="str">
        <f ca="1">IFERROR(__xludf.DUMMYFUNCTION("""COMPUTED_VALUE"""),"Model S 70D")</f>
        <v>Model S 70D</v>
      </c>
      <c r="C1082">
        <f ca="1">IFERROR(__xludf.DUMMYFUNCTION("""COMPUTED_VALUE"""),352)</f>
        <v>352</v>
      </c>
      <c r="D1082">
        <f ca="1">IFERROR(__xludf.DUMMYFUNCTION("""COMPUTED_VALUE"""),42825)</f>
        <v>42825</v>
      </c>
      <c r="E1082">
        <f ca="1">IFERROR(__xludf.DUMMYFUNCTION("""COMPUTED_VALUE"""),348)</f>
        <v>348</v>
      </c>
      <c r="F1082">
        <v>360</v>
      </c>
      <c r="G1082">
        <v>0.96666666666666667</v>
      </c>
      <c r="H1082">
        <v>26610</v>
      </c>
      <c r="I1082">
        <v>42825</v>
      </c>
      <c r="J1082">
        <v>26610</v>
      </c>
      <c r="K1082">
        <v>0.97231988174175688</v>
      </c>
      <c r="L1082">
        <f t="shared" ca="1" si="105"/>
        <v>216.23710800000001</v>
      </c>
      <c r="M1082">
        <f t="shared" si="106"/>
        <v>223.69355999999999</v>
      </c>
      <c r="N1082">
        <v>26610</v>
      </c>
      <c r="O1082">
        <f t="shared" ca="1" si="101"/>
        <v>0.96666666666666679</v>
      </c>
    </row>
    <row r="1083" spans="1:15" x14ac:dyDescent="0.2">
      <c r="A1083" t="str">
        <f ca="1">IFERROR(__xludf.DUMMYFUNCTION("""COMPUTED_VALUE"""),"km")</f>
        <v>km</v>
      </c>
      <c r="B1083" t="str">
        <f ca="1">IFERROR(__xludf.DUMMYFUNCTION("""COMPUTED_VALUE"""),"Model S 70D")</f>
        <v>Model S 70D</v>
      </c>
      <c r="C1083">
        <f ca="1">IFERROR(__xludf.DUMMYFUNCTION("""COMPUTED_VALUE"""),360)</f>
        <v>360</v>
      </c>
      <c r="D1083">
        <f ca="1">IFERROR(__xludf.DUMMYFUNCTION("""COMPUTED_VALUE"""),100449)</f>
        <v>100449</v>
      </c>
      <c r="E1083">
        <f ca="1">IFERROR(__xludf.DUMMYFUNCTION("""COMPUTED_VALUE"""),348)</f>
        <v>348</v>
      </c>
      <c r="F1083">
        <v>360</v>
      </c>
      <c r="G1083">
        <v>0.96666666666666667</v>
      </c>
      <c r="H1083">
        <v>62416</v>
      </c>
      <c r="I1083">
        <v>100449</v>
      </c>
      <c r="J1083">
        <v>62416</v>
      </c>
      <c r="K1083">
        <v>0.94054356676584794</v>
      </c>
      <c r="L1083">
        <f t="shared" ca="1" si="105"/>
        <v>216.23710800000001</v>
      </c>
      <c r="M1083">
        <f t="shared" si="106"/>
        <v>223.69355999999999</v>
      </c>
      <c r="N1083">
        <v>62416</v>
      </c>
      <c r="O1083">
        <f t="shared" ca="1" si="101"/>
        <v>0.96666666666666679</v>
      </c>
    </row>
    <row r="1084" spans="1:15" x14ac:dyDescent="0.2">
      <c r="A1084" t="str">
        <f ca="1">IFERROR(__xludf.DUMMYFUNCTION("""COMPUTED_VALUE"""),"km")</f>
        <v>km</v>
      </c>
      <c r="B1084" t="str">
        <f ca="1">IFERROR(__xludf.DUMMYFUNCTION("""COMPUTED_VALUE"""),"Model S 70D")</f>
        <v>Model S 70D</v>
      </c>
      <c r="C1084">
        <f ca="1">IFERROR(__xludf.DUMMYFUNCTION("""COMPUTED_VALUE"""),358)</f>
        <v>358</v>
      </c>
      <c r="D1084">
        <f ca="1">IFERROR(__xludf.DUMMYFUNCTION("""COMPUTED_VALUE"""),31913)</f>
        <v>31913</v>
      </c>
      <c r="E1084">
        <f ca="1">IFERROR(__xludf.DUMMYFUNCTION("""COMPUTED_VALUE"""),348)</f>
        <v>348</v>
      </c>
      <c r="F1084">
        <v>360</v>
      </c>
      <c r="G1084">
        <v>0.96666666666666667</v>
      </c>
      <c r="H1084">
        <v>19830</v>
      </c>
      <c r="I1084">
        <v>31913</v>
      </c>
      <c r="J1084">
        <v>19830</v>
      </c>
      <c r="K1084">
        <v>0.97905235530869827</v>
      </c>
      <c r="L1084">
        <f t="shared" ca="1" si="105"/>
        <v>216.23710800000001</v>
      </c>
      <c r="M1084">
        <f t="shared" si="106"/>
        <v>223.69355999999999</v>
      </c>
      <c r="N1084">
        <v>19830</v>
      </c>
      <c r="O1084">
        <f t="shared" ca="1" si="101"/>
        <v>0.96666666666666679</v>
      </c>
    </row>
    <row r="1085" spans="1:15" x14ac:dyDescent="0.2">
      <c r="A1085" t="str">
        <f ca="1">IFERROR(__xludf.DUMMYFUNCTION("""COMPUTED_VALUE"""),"km")</f>
        <v>km</v>
      </c>
      <c r="B1085" t="str">
        <f ca="1">IFERROR(__xludf.DUMMYFUNCTION("""COMPUTED_VALUE"""),"Model S P100D")</f>
        <v>Model S P100D</v>
      </c>
      <c r="C1085">
        <f ca="1">IFERROR(__xludf.DUMMYFUNCTION("""COMPUTED_VALUE"""),488)</f>
        <v>488</v>
      </c>
      <c r="D1085">
        <f ca="1">IFERROR(__xludf.DUMMYFUNCTION("""COMPUTED_VALUE"""),25308)</f>
        <v>25308</v>
      </c>
      <c r="E1085">
        <f ca="1">IFERROR(__xludf.DUMMYFUNCTION("""COMPUTED_VALUE"""),467)</f>
        <v>467</v>
      </c>
      <c r="F1085">
        <v>483</v>
      </c>
      <c r="G1085">
        <v>0.9668737060041408</v>
      </c>
      <c r="H1085">
        <v>15726</v>
      </c>
      <c r="I1085">
        <v>25308</v>
      </c>
      <c r="J1085">
        <v>15726</v>
      </c>
      <c r="K1085">
        <v>0.98323502038610511</v>
      </c>
      <c r="L1085">
        <f t="shared" ca="1" si="105"/>
        <v>290.18025699999998</v>
      </c>
      <c r="M1085">
        <f t="shared" si="106"/>
        <v>300.12219299999998</v>
      </c>
      <c r="N1085">
        <v>15726</v>
      </c>
      <c r="O1085">
        <f t="shared" ca="1" si="101"/>
        <v>0.9668737060041408</v>
      </c>
    </row>
    <row r="1086" spans="1:15" x14ac:dyDescent="0.2">
      <c r="A1086" t="str">
        <f ca="1">IFERROR(__xludf.DUMMYFUNCTION("""COMPUTED_VALUE"""),"km")</f>
        <v>km</v>
      </c>
      <c r="B1086" t="str">
        <f ca="1">IFERROR(__xludf.DUMMYFUNCTION("""COMPUTED_VALUE"""),"Model S 85D")</f>
        <v>Model S 85D</v>
      </c>
      <c r="D1086">
        <f ca="1">IFERROR(__xludf.DUMMYFUNCTION("""COMPUTED_VALUE"""),56320)</f>
        <v>56320</v>
      </c>
      <c r="E1086">
        <f ca="1">IFERROR(__xludf.DUMMYFUNCTION("""COMPUTED_VALUE"""),411)</f>
        <v>411</v>
      </c>
      <c r="F1086">
        <v>425</v>
      </c>
      <c r="G1086">
        <v>0.96705882352941175</v>
      </c>
      <c r="H1086">
        <v>34996</v>
      </c>
      <c r="I1086">
        <v>56320</v>
      </c>
      <c r="J1086">
        <v>34996</v>
      </c>
      <c r="K1086">
        <v>0.96430345267355744</v>
      </c>
      <c r="L1086">
        <f t="shared" ca="1" si="105"/>
        <v>255.38348099999999</v>
      </c>
      <c r="M1086">
        <f t="shared" si="106"/>
        <v>264.08267499999999</v>
      </c>
      <c r="N1086">
        <v>34996</v>
      </c>
      <c r="O1086">
        <f t="shared" ca="1" si="101"/>
        <v>0.96705882352941175</v>
      </c>
    </row>
    <row r="1087" spans="1:15" x14ac:dyDescent="0.2">
      <c r="A1087" t="str">
        <f ca="1">IFERROR(__xludf.DUMMYFUNCTION("""COMPUTED_VALUE"""),"km")</f>
        <v>km</v>
      </c>
      <c r="B1087" t="str">
        <f ca="1">IFERROR(__xludf.DUMMYFUNCTION("""COMPUTED_VALUE"""),"Model S 85D")</f>
        <v>Model S 85D</v>
      </c>
      <c r="D1087">
        <f ca="1">IFERROR(__xludf.DUMMYFUNCTION("""COMPUTED_VALUE"""),53720)</f>
        <v>53720</v>
      </c>
      <c r="E1087">
        <f ca="1">IFERROR(__xludf.DUMMYFUNCTION("""COMPUTED_VALUE"""),411)</f>
        <v>411</v>
      </c>
      <c r="F1087">
        <v>425</v>
      </c>
      <c r="G1087">
        <v>0.96705882352941175</v>
      </c>
      <c r="H1087">
        <v>33380</v>
      </c>
      <c r="I1087">
        <v>53720</v>
      </c>
      <c r="J1087">
        <v>33380</v>
      </c>
      <c r="K1087">
        <v>0.96582107392855765</v>
      </c>
      <c r="L1087">
        <f t="shared" ca="1" si="105"/>
        <v>255.38348099999999</v>
      </c>
      <c r="M1087">
        <f t="shared" si="106"/>
        <v>264.08267499999999</v>
      </c>
      <c r="N1087">
        <v>33380</v>
      </c>
      <c r="O1087">
        <f t="shared" ca="1" si="101"/>
        <v>0.96705882352941175</v>
      </c>
    </row>
    <row r="1088" spans="1:15" x14ac:dyDescent="0.2">
      <c r="A1088" t="str">
        <f ca="1">IFERROR(__xludf.DUMMYFUNCTION("""COMPUTED_VALUE"""),"km")</f>
        <v>km</v>
      </c>
      <c r="B1088" t="str">
        <f ca="1">IFERROR(__xludf.DUMMYFUNCTION("""COMPUTED_VALUE"""),"Model S 85")</f>
        <v>Model S 85</v>
      </c>
      <c r="D1088">
        <f ca="1">IFERROR(__xludf.DUMMYFUNCTION("""COMPUTED_VALUE"""),94980)</f>
        <v>94980</v>
      </c>
      <c r="E1088">
        <f ca="1">IFERROR(__xludf.DUMMYFUNCTION("""COMPUTED_VALUE"""),382)</f>
        <v>382</v>
      </c>
      <c r="F1088">
        <v>395</v>
      </c>
      <c r="G1088">
        <v>0.96708860759493676</v>
      </c>
      <c r="H1088">
        <v>59018</v>
      </c>
      <c r="I1088">
        <v>94980</v>
      </c>
      <c r="J1088">
        <v>59018</v>
      </c>
      <c r="K1088">
        <v>0.9432800751033612</v>
      </c>
      <c r="L1088">
        <f t="shared" ca="1" si="105"/>
        <v>237.363722</v>
      </c>
      <c r="M1088">
        <f t="shared" si="106"/>
        <v>245.44154499999999</v>
      </c>
      <c r="N1088">
        <v>59018</v>
      </c>
      <c r="O1088">
        <f t="shared" ca="1" si="101"/>
        <v>0.96708860759493676</v>
      </c>
    </row>
    <row r="1089" spans="1:15" x14ac:dyDescent="0.2">
      <c r="A1089" t="str">
        <f ca="1">IFERROR(__xludf.DUMMYFUNCTION("""COMPUTED_VALUE"""),"km")</f>
        <v>km</v>
      </c>
      <c r="B1089" t="str">
        <f ca="1">IFERROR(__xludf.DUMMYFUNCTION("""COMPUTED_VALUE"""),"Model S P85+")</f>
        <v>Model S P85+</v>
      </c>
      <c r="C1089">
        <f ca="1">IFERROR(__xludf.DUMMYFUNCTION("""COMPUTED_VALUE"""),400)</f>
        <v>400</v>
      </c>
      <c r="D1089">
        <f ca="1">IFERROR(__xludf.DUMMYFUNCTION("""COMPUTED_VALUE"""),78126)</f>
        <v>78126</v>
      </c>
      <c r="E1089">
        <f ca="1">IFERROR(__xludf.DUMMYFUNCTION("""COMPUTED_VALUE"""),382)</f>
        <v>382</v>
      </c>
      <c r="F1089">
        <v>395</v>
      </c>
      <c r="G1089">
        <v>0.96708860759493676</v>
      </c>
      <c r="H1089">
        <v>48545</v>
      </c>
      <c r="I1089">
        <v>78126</v>
      </c>
      <c r="J1089">
        <v>48545</v>
      </c>
      <c r="K1089">
        <v>0.95208662649508047</v>
      </c>
      <c r="L1089">
        <f t="shared" ca="1" si="105"/>
        <v>237.363722</v>
      </c>
      <c r="M1089">
        <f t="shared" si="106"/>
        <v>245.44154499999999</v>
      </c>
      <c r="N1089">
        <v>48545</v>
      </c>
      <c r="O1089">
        <f t="shared" ca="1" si="101"/>
        <v>0.96708860759493676</v>
      </c>
    </row>
    <row r="1090" spans="1:15" x14ac:dyDescent="0.2">
      <c r="A1090" t="str">
        <f ca="1">IFERROR(__xludf.DUMMYFUNCTION("""COMPUTED_VALUE"""),"km")</f>
        <v>km</v>
      </c>
      <c r="B1090" t="str">
        <f ca="1">IFERROR(__xludf.DUMMYFUNCTION("""COMPUTED_VALUE"""),"Model S P85")</f>
        <v>Model S P85</v>
      </c>
      <c r="C1090">
        <f ca="1">IFERROR(__xludf.DUMMYFUNCTION("""COMPUTED_VALUE"""),392)</f>
        <v>392</v>
      </c>
      <c r="D1090">
        <f ca="1">IFERROR(__xludf.DUMMYFUNCTION("""COMPUTED_VALUE"""),110000)</f>
        <v>110000</v>
      </c>
      <c r="E1090">
        <f ca="1">IFERROR(__xludf.DUMMYFUNCTION("""COMPUTED_VALUE"""),382)</f>
        <v>382</v>
      </c>
      <c r="F1090">
        <v>395</v>
      </c>
      <c r="G1090">
        <v>0.96708860759493676</v>
      </c>
      <c r="H1090">
        <v>68351</v>
      </c>
      <c r="I1090">
        <v>110000</v>
      </c>
      <c r="J1090">
        <v>68351</v>
      </c>
      <c r="K1090">
        <v>0.93590864771648052</v>
      </c>
      <c r="L1090">
        <f t="shared" ca="1" si="105"/>
        <v>237.363722</v>
      </c>
      <c r="M1090">
        <f t="shared" si="106"/>
        <v>245.44154499999999</v>
      </c>
      <c r="N1090">
        <v>68351</v>
      </c>
      <c r="O1090">
        <f t="shared" ref="O1090:O1153" ca="1" si="107">L1090/M1090</f>
        <v>0.96708860759493676</v>
      </c>
    </row>
    <row r="1091" spans="1:15" x14ac:dyDescent="0.2">
      <c r="A1091" t="str">
        <f ca="1">IFERROR(__xludf.DUMMYFUNCTION("""COMPUTED_VALUE"""),"km")</f>
        <v>km</v>
      </c>
      <c r="B1091" t="str">
        <f ca="1">IFERROR(__xludf.DUMMYFUNCTION("""COMPUTED_VALUE"""),"Model S 85")</f>
        <v>Model S 85</v>
      </c>
      <c r="D1091">
        <f ca="1">IFERROR(__xludf.DUMMYFUNCTION("""COMPUTED_VALUE"""),72626)</f>
        <v>72626</v>
      </c>
      <c r="E1091">
        <f ca="1">IFERROR(__xludf.DUMMYFUNCTION("""COMPUTED_VALUE"""),382)</f>
        <v>382</v>
      </c>
      <c r="F1091">
        <v>395</v>
      </c>
      <c r="G1091">
        <v>0.96708860759493676</v>
      </c>
      <c r="H1091">
        <v>45128</v>
      </c>
      <c r="I1091">
        <v>72626</v>
      </c>
      <c r="J1091">
        <v>45128</v>
      </c>
      <c r="K1091">
        <v>0.95508121758083886</v>
      </c>
      <c r="L1091">
        <f t="shared" ca="1" si="105"/>
        <v>237.363722</v>
      </c>
      <c r="M1091">
        <f t="shared" si="106"/>
        <v>245.44154499999999</v>
      </c>
      <c r="N1091">
        <v>45128</v>
      </c>
      <c r="O1091">
        <f t="shared" ca="1" si="107"/>
        <v>0.96708860759493676</v>
      </c>
    </row>
    <row r="1092" spans="1:15" x14ac:dyDescent="0.2">
      <c r="A1092" t="str">
        <f ca="1">IFERROR(__xludf.DUMMYFUNCTION("""COMPUTED_VALUE"""),"km")</f>
        <v>km</v>
      </c>
      <c r="B1092" t="str">
        <f ca="1">IFERROR(__xludf.DUMMYFUNCTION("""COMPUTED_VALUE"""),"Model S 85")</f>
        <v>Model S 85</v>
      </c>
      <c r="D1092">
        <f ca="1">IFERROR(__xludf.DUMMYFUNCTION("""COMPUTED_VALUE"""),66387)</f>
        <v>66387</v>
      </c>
      <c r="E1092">
        <f ca="1">IFERROR(__xludf.DUMMYFUNCTION("""COMPUTED_VALUE"""),382)</f>
        <v>382</v>
      </c>
      <c r="F1092">
        <v>395</v>
      </c>
      <c r="G1092">
        <v>0.96708860759493676</v>
      </c>
      <c r="H1092">
        <v>41251</v>
      </c>
      <c r="I1092">
        <v>66387</v>
      </c>
      <c r="J1092">
        <v>41251</v>
      </c>
      <c r="K1092">
        <v>0.95854931773649776</v>
      </c>
      <c r="L1092">
        <f t="shared" ca="1" si="105"/>
        <v>237.363722</v>
      </c>
      <c r="M1092">
        <f t="shared" si="106"/>
        <v>245.44154499999999</v>
      </c>
      <c r="N1092">
        <v>41251</v>
      </c>
      <c r="O1092">
        <f t="shared" ca="1" si="107"/>
        <v>0.96708860759493676</v>
      </c>
    </row>
    <row r="1093" spans="1:15" x14ac:dyDescent="0.2">
      <c r="A1093" t="str">
        <f ca="1">IFERROR(__xludf.DUMMYFUNCTION("""COMPUTED_VALUE"""),"km")</f>
        <v>km</v>
      </c>
      <c r="B1093" t="str">
        <f ca="1">IFERROR(__xludf.DUMMYFUNCTION("""COMPUTED_VALUE"""),"Model S 85")</f>
        <v>Model S 85</v>
      </c>
      <c r="D1093">
        <f ca="1">IFERROR(__xludf.DUMMYFUNCTION("""COMPUTED_VALUE"""),65500)</f>
        <v>65500</v>
      </c>
      <c r="E1093">
        <f ca="1">IFERROR(__xludf.DUMMYFUNCTION("""COMPUTED_VALUE"""),382)</f>
        <v>382</v>
      </c>
      <c r="F1093">
        <v>395</v>
      </c>
      <c r="G1093">
        <v>0.96708860759493676</v>
      </c>
      <c r="H1093">
        <v>40700</v>
      </c>
      <c r="I1093">
        <v>65500</v>
      </c>
      <c r="J1093">
        <v>40700</v>
      </c>
      <c r="K1093">
        <v>0.95904848900041684</v>
      </c>
      <c r="L1093">
        <f t="shared" ca="1" si="105"/>
        <v>237.363722</v>
      </c>
      <c r="M1093">
        <f t="shared" si="106"/>
        <v>245.44154499999999</v>
      </c>
      <c r="N1093">
        <v>40700</v>
      </c>
      <c r="O1093">
        <f t="shared" ca="1" si="107"/>
        <v>0.96708860759493676</v>
      </c>
    </row>
    <row r="1094" spans="1:15" x14ac:dyDescent="0.2">
      <c r="A1094" t="str">
        <f ca="1">IFERROR(__xludf.DUMMYFUNCTION("""COMPUTED_VALUE"""),"km")</f>
        <v>km</v>
      </c>
      <c r="B1094" t="str">
        <f ca="1">IFERROR(__xludf.DUMMYFUNCTION("""COMPUTED_VALUE"""),"Model S 85")</f>
        <v>Model S 85</v>
      </c>
      <c r="C1094">
        <f ca="1">IFERROR(__xludf.DUMMYFUNCTION("""COMPUTED_VALUE"""),396)</f>
        <v>396</v>
      </c>
      <c r="D1094">
        <f ca="1">IFERROR(__xludf.DUMMYFUNCTION("""COMPUTED_VALUE"""),70300)</f>
        <v>70300</v>
      </c>
      <c r="E1094">
        <f ca="1">IFERROR(__xludf.DUMMYFUNCTION("""COMPUTED_VALUE"""),382)</f>
        <v>382</v>
      </c>
      <c r="F1094">
        <v>395</v>
      </c>
      <c r="G1094">
        <v>0.96708860759493676</v>
      </c>
      <c r="H1094">
        <v>43682</v>
      </c>
      <c r="I1094">
        <v>70300</v>
      </c>
      <c r="J1094">
        <v>43682</v>
      </c>
      <c r="K1094">
        <v>0.95636536619540202</v>
      </c>
      <c r="L1094">
        <f t="shared" ca="1" si="105"/>
        <v>237.363722</v>
      </c>
      <c r="M1094">
        <f t="shared" si="106"/>
        <v>245.44154499999999</v>
      </c>
      <c r="N1094">
        <v>43682</v>
      </c>
      <c r="O1094">
        <f t="shared" ca="1" si="107"/>
        <v>0.96708860759493676</v>
      </c>
    </row>
    <row r="1095" spans="1:15" x14ac:dyDescent="0.2">
      <c r="A1095" t="str">
        <f ca="1">IFERROR(__xludf.DUMMYFUNCTION("""COMPUTED_VALUE"""),"km")</f>
        <v>km</v>
      </c>
      <c r="B1095" t="str">
        <f ca="1">IFERROR(__xludf.DUMMYFUNCTION("""COMPUTED_VALUE"""),"Model S 85")</f>
        <v>Model S 85</v>
      </c>
      <c r="D1095">
        <f ca="1">IFERROR(__xludf.DUMMYFUNCTION("""COMPUTED_VALUE"""),152250)</f>
        <v>152250</v>
      </c>
      <c r="E1095">
        <f ca="1">IFERROR(__xludf.DUMMYFUNCTION("""COMPUTED_VALUE"""),382)</f>
        <v>382</v>
      </c>
      <c r="F1095">
        <v>395</v>
      </c>
      <c r="G1095">
        <v>0.96708860759493676</v>
      </c>
      <c r="H1095">
        <v>94604</v>
      </c>
      <c r="I1095">
        <v>152250</v>
      </c>
      <c r="J1095">
        <v>94604</v>
      </c>
      <c r="K1095">
        <v>0.9176520960910648</v>
      </c>
      <c r="L1095">
        <f t="shared" ca="1" si="105"/>
        <v>237.363722</v>
      </c>
      <c r="M1095">
        <f t="shared" si="106"/>
        <v>245.44154499999999</v>
      </c>
      <c r="N1095">
        <v>94604</v>
      </c>
      <c r="O1095">
        <f t="shared" ca="1" si="107"/>
        <v>0.96708860759493676</v>
      </c>
    </row>
    <row r="1096" spans="1:15" x14ac:dyDescent="0.2">
      <c r="A1096" t="str">
        <f ca="1">IFERROR(__xludf.DUMMYFUNCTION("""COMPUTED_VALUE"""),"km")</f>
        <v>km</v>
      </c>
      <c r="B1096" t="str">
        <f ca="1">IFERROR(__xludf.DUMMYFUNCTION("""COMPUTED_VALUE"""),"Model S 85")</f>
        <v>Model S 85</v>
      </c>
      <c r="D1096">
        <f ca="1">IFERROR(__xludf.DUMMYFUNCTION("""COMPUTED_VALUE"""),60700)</f>
        <v>60700</v>
      </c>
      <c r="E1096">
        <f ca="1">IFERROR(__xludf.DUMMYFUNCTION("""COMPUTED_VALUE"""),382)</f>
        <v>382</v>
      </c>
      <c r="F1096">
        <v>395</v>
      </c>
      <c r="G1096">
        <v>0.96708860759493676</v>
      </c>
      <c r="H1096">
        <v>37717</v>
      </c>
      <c r="I1096">
        <v>60700</v>
      </c>
      <c r="J1096">
        <v>37717</v>
      </c>
      <c r="K1096">
        <v>0.96177602557261077</v>
      </c>
      <c r="L1096">
        <f t="shared" ca="1" si="105"/>
        <v>237.363722</v>
      </c>
      <c r="M1096">
        <f t="shared" si="106"/>
        <v>245.44154499999999</v>
      </c>
      <c r="N1096">
        <v>37717</v>
      </c>
      <c r="O1096">
        <f t="shared" ca="1" si="107"/>
        <v>0.96708860759493676</v>
      </c>
    </row>
    <row r="1097" spans="1:15" x14ac:dyDescent="0.2">
      <c r="A1097" t="str">
        <f ca="1">IFERROR(__xludf.DUMMYFUNCTION("""COMPUTED_VALUE"""),"km")</f>
        <v>km</v>
      </c>
      <c r="B1097" t="str">
        <f ca="1">IFERROR(__xludf.DUMMYFUNCTION("""COMPUTED_VALUE"""),"Model S P85")</f>
        <v>Model S P85</v>
      </c>
      <c r="D1097">
        <f ca="1">IFERROR(__xludf.DUMMYFUNCTION("""COMPUTED_VALUE"""),84000)</f>
        <v>84000</v>
      </c>
      <c r="E1097">
        <f ca="1">IFERROR(__xludf.DUMMYFUNCTION("""COMPUTED_VALUE"""),382)</f>
        <v>382</v>
      </c>
      <c r="F1097">
        <v>395</v>
      </c>
      <c r="G1097">
        <v>0.96708860759493676</v>
      </c>
      <c r="H1097">
        <v>52195</v>
      </c>
      <c r="I1097">
        <v>84000</v>
      </c>
      <c r="J1097">
        <v>52195</v>
      </c>
      <c r="K1097">
        <v>0.94895373728199439</v>
      </c>
      <c r="L1097">
        <f t="shared" ca="1" si="105"/>
        <v>237.363722</v>
      </c>
      <c r="M1097">
        <f t="shared" si="106"/>
        <v>245.44154499999999</v>
      </c>
      <c r="N1097">
        <v>52195</v>
      </c>
      <c r="O1097">
        <f t="shared" ca="1" si="107"/>
        <v>0.96708860759493676</v>
      </c>
    </row>
    <row r="1098" spans="1:15" x14ac:dyDescent="0.2">
      <c r="A1098" t="str">
        <f ca="1">IFERROR(__xludf.DUMMYFUNCTION("""COMPUTED_VALUE"""),"km")</f>
        <v>km</v>
      </c>
      <c r="B1098" t="str">
        <f ca="1">IFERROR(__xludf.DUMMYFUNCTION("""COMPUTED_VALUE"""),"Model S 85")</f>
        <v>Model S 85</v>
      </c>
      <c r="D1098">
        <f ca="1">IFERROR(__xludf.DUMMYFUNCTION("""COMPUTED_VALUE"""),78956)</f>
        <v>78956</v>
      </c>
      <c r="E1098">
        <f ca="1">IFERROR(__xludf.DUMMYFUNCTION("""COMPUTED_VALUE"""),382)</f>
        <v>382</v>
      </c>
      <c r="F1098">
        <v>395</v>
      </c>
      <c r="G1098">
        <v>0.96708860759493676</v>
      </c>
      <c r="H1098">
        <v>49061</v>
      </c>
      <c r="I1098">
        <v>78956</v>
      </c>
      <c r="J1098">
        <v>49061</v>
      </c>
      <c r="K1098">
        <v>0.95163984343347552</v>
      </c>
      <c r="L1098">
        <f t="shared" ca="1" si="105"/>
        <v>237.363722</v>
      </c>
      <c r="M1098">
        <f t="shared" si="106"/>
        <v>245.44154499999999</v>
      </c>
      <c r="N1098">
        <v>49061</v>
      </c>
      <c r="O1098">
        <f t="shared" ca="1" si="107"/>
        <v>0.96708860759493676</v>
      </c>
    </row>
    <row r="1099" spans="1:15" x14ac:dyDescent="0.2">
      <c r="A1099" t="str">
        <f ca="1">IFERROR(__xludf.DUMMYFUNCTION("""COMPUTED_VALUE"""),"km")</f>
        <v>km</v>
      </c>
      <c r="B1099" t="str">
        <f ca="1">IFERROR(__xludf.DUMMYFUNCTION("""COMPUTED_VALUE"""),"Model S 85")</f>
        <v>Model S 85</v>
      </c>
      <c r="D1099">
        <f ca="1">IFERROR(__xludf.DUMMYFUNCTION("""COMPUTED_VALUE"""),24639)</f>
        <v>24639</v>
      </c>
      <c r="E1099">
        <f ca="1">IFERROR(__xludf.DUMMYFUNCTION("""COMPUTED_VALUE"""),382)</f>
        <v>382</v>
      </c>
      <c r="F1099">
        <v>395</v>
      </c>
      <c r="G1099">
        <v>0.96708860759493676</v>
      </c>
      <c r="H1099">
        <v>15310</v>
      </c>
      <c r="I1099">
        <v>24639</v>
      </c>
      <c r="J1099">
        <v>15310</v>
      </c>
      <c r="K1099">
        <v>0.98366316078230143</v>
      </c>
      <c r="L1099">
        <f t="shared" ca="1" si="105"/>
        <v>237.363722</v>
      </c>
      <c r="M1099">
        <f t="shared" si="106"/>
        <v>245.44154499999999</v>
      </c>
      <c r="N1099">
        <v>15310</v>
      </c>
      <c r="O1099">
        <f t="shared" ca="1" si="107"/>
        <v>0.96708860759493676</v>
      </c>
    </row>
    <row r="1100" spans="1:15" x14ac:dyDescent="0.2">
      <c r="A1100" t="str">
        <f ca="1">IFERROR(__xludf.DUMMYFUNCTION("""COMPUTED_VALUE"""),"km")</f>
        <v>km</v>
      </c>
      <c r="B1100" t="str">
        <f ca="1">IFERROR(__xludf.DUMMYFUNCTION("""COMPUTED_VALUE"""),"Model S P85")</f>
        <v>Model S P85</v>
      </c>
      <c r="C1100">
        <f ca="1">IFERROR(__xludf.DUMMYFUNCTION("""COMPUTED_VALUE"""),392)</f>
        <v>392</v>
      </c>
      <c r="D1100">
        <f ca="1">IFERROR(__xludf.DUMMYFUNCTION("""COMPUTED_VALUE"""),57000)</f>
        <v>57000</v>
      </c>
      <c r="E1100">
        <f ca="1">IFERROR(__xludf.DUMMYFUNCTION("""COMPUTED_VALUE"""),382)</f>
        <v>382</v>
      </c>
      <c r="F1100">
        <v>395</v>
      </c>
      <c r="G1100">
        <v>0.96708860759493676</v>
      </c>
      <c r="H1100">
        <v>35418</v>
      </c>
      <c r="I1100">
        <v>57000</v>
      </c>
      <c r="J1100">
        <v>35418</v>
      </c>
      <c r="K1100">
        <v>0.96390866225609995</v>
      </c>
      <c r="L1100">
        <f t="shared" ca="1" si="105"/>
        <v>237.363722</v>
      </c>
      <c r="M1100">
        <f t="shared" si="106"/>
        <v>245.44154499999999</v>
      </c>
      <c r="N1100">
        <v>35418</v>
      </c>
      <c r="O1100">
        <f t="shared" ca="1" si="107"/>
        <v>0.96708860759493676</v>
      </c>
    </row>
    <row r="1101" spans="1:15" x14ac:dyDescent="0.2">
      <c r="A1101" t="str">
        <f ca="1">IFERROR(__xludf.DUMMYFUNCTION("""COMPUTED_VALUE"""),"km")</f>
        <v>km</v>
      </c>
      <c r="B1101" t="str">
        <f ca="1">IFERROR(__xludf.DUMMYFUNCTION("""COMPUTED_VALUE"""),"Model S P85+")</f>
        <v>Model S P85+</v>
      </c>
      <c r="C1101">
        <f ca="1">IFERROR(__xludf.DUMMYFUNCTION("""COMPUTED_VALUE"""),402)</f>
        <v>402</v>
      </c>
      <c r="D1101">
        <f ca="1">IFERROR(__xludf.DUMMYFUNCTION("""COMPUTED_VALUE"""),37900)</f>
        <v>37900</v>
      </c>
      <c r="E1101">
        <f ca="1">IFERROR(__xludf.DUMMYFUNCTION("""COMPUTED_VALUE"""),382)</f>
        <v>382</v>
      </c>
      <c r="F1101">
        <v>395</v>
      </c>
      <c r="G1101">
        <v>0.96708860759493676</v>
      </c>
      <c r="H1101">
        <v>23550</v>
      </c>
      <c r="I1101">
        <v>37900</v>
      </c>
      <c r="J1101">
        <v>23550</v>
      </c>
      <c r="K1101">
        <v>0.97533097074093678</v>
      </c>
      <c r="L1101">
        <f t="shared" ca="1" si="105"/>
        <v>237.363722</v>
      </c>
      <c r="M1101">
        <f t="shared" si="106"/>
        <v>245.44154499999999</v>
      </c>
      <c r="N1101">
        <v>23550</v>
      </c>
      <c r="O1101">
        <f t="shared" ca="1" si="107"/>
        <v>0.96708860759493676</v>
      </c>
    </row>
    <row r="1102" spans="1:15" x14ac:dyDescent="0.2">
      <c r="A1102" t="str">
        <f ca="1">IFERROR(__xludf.DUMMYFUNCTION("""COMPUTED_VALUE"""),"km")</f>
        <v>km</v>
      </c>
      <c r="B1102" t="str">
        <f ca="1">IFERROR(__xludf.DUMMYFUNCTION("""COMPUTED_VALUE"""),"Model S 85")</f>
        <v>Model S 85</v>
      </c>
      <c r="C1102">
        <f ca="1">IFERROR(__xludf.DUMMYFUNCTION("""COMPUTED_VALUE"""),395)</f>
        <v>395</v>
      </c>
      <c r="D1102">
        <f ca="1">IFERROR(__xludf.DUMMYFUNCTION("""COMPUTED_VALUE"""),77500)</f>
        <v>77500</v>
      </c>
      <c r="E1102">
        <f ca="1">IFERROR(__xludf.DUMMYFUNCTION("""COMPUTED_VALUE"""),382)</f>
        <v>382</v>
      </c>
      <c r="F1102">
        <v>395</v>
      </c>
      <c r="G1102">
        <v>0.96708860759493676</v>
      </c>
      <c r="H1102">
        <v>48156</v>
      </c>
      <c r="I1102">
        <v>77500</v>
      </c>
      <c r="J1102">
        <v>48156</v>
      </c>
      <c r="K1102">
        <v>0.95242448906473309</v>
      </c>
      <c r="L1102">
        <f t="shared" ca="1" si="105"/>
        <v>237.363722</v>
      </c>
      <c r="M1102">
        <f t="shared" si="106"/>
        <v>245.44154499999999</v>
      </c>
      <c r="N1102">
        <v>48156</v>
      </c>
      <c r="O1102">
        <f t="shared" ca="1" si="107"/>
        <v>0.96708860759493676</v>
      </c>
    </row>
    <row r="1103" spans="1:15" x14ac:dyDescent="0.2">
      <c r="A1103" t="str">
        <f ca="1">IFERROR(__xludf.DUMMYFUNCTION("""COMPUTED_VALUE"""),"km")</f>
        <v>km</v>
      </c>
      <c r="B1103" t="str">
        <f ca="1">IFERROR(__xludf.DUMMYFUNCTION("""COMPUTED_VALUE"""),"Model S 85")</f>
        <v>Model S 85</v>
      </c>
      <c r="C1103">
        <f ca="1">IFERROR(__xludf.DUMMYFUNCTION("""COMPUTED_VALUE"""),398)</f>
        <v>398</v>
      </c>
      <c r="D1103">
        <f ca="1">IFERROR(__xludf.DUMMYFUNCTION("""COMPUTED_VALUE"""),52221)</f>
        <v>52221</v>
      </c>
      <c r="E1103">
        <f ca="1">IFERROR(__xludf.DUMMYFUNCTION("""COMPUTED_VALUE"""),382)</f>
        <v>382</v>
      </c>
      <c r="F1103">
        <v>395</v>
      </c>
      <c r="G1103">
        <v>0.96708860759493676</v>
      </c>
      <c r="H1103">
        <v>32449</v>
      </c>
      <c r="I1103">
        <v>52221</v>
      </c>
      <c r="J1103">
        <v>32449</v>
      </c>
      <c r="K1103">
        <v>0.96670188692007275</v>
      </c>
      <c r="L1103">
        <f t="shared" ca="1" si="105"/>
        <v>237.363722</v>
      </c>
      <c r="M1103">
        <f t="shared" si="106"/>
        <v>245.44154499999999</v>
      </c>
      <c r="N1103">
        <v>32449</v>
      </c>
      <c r="O1103">
        <f t="shared" ca="1" si="107"/>
        <v>0.96708860759493676</v>
      </c>
    </row>
    <row r="1104" spans="1:15" x14ac:dyDescent="0.2">
      <c r="A1104" t="str">
        <f ca="1">IFERROR(__xludf.DUMMYFUNCTION("""COMPUTED_VALUE"""),"km")</f>
        <v>km</v>
      </c>
      <c r="B1104" t="str">
        <f ca="1">IFERROR(__xludf.DUMMYFUNCTION("""COMPUTED_VALUE"""),"Model S 85")</f>
        <v>Model S 85</v>
      </c>
      <c r="D1104">
        <f ca="1">IFERROR(__xludf.DUMMYFUNCTION("""COMPUTED_VALUE"""),18412)</f>
        <v>18412</v>
      </c>
      <c r="E1104">
        <f ca="1">IFERROR(__xludf.DUMMYFUNCTION("""COMPUTED_VALUE"""),382)</f>
        <v>382</v>
      </c>
      <c r="F1104">
        <v>395</v>
      </c>
      <c r="G1104">
        <v>0.96708860759493676</v>
      </c>
      <c r="H1104">
        <v>11441</v>
      </c>
      <c r="I1104">
        <v>18412</v>
      </c>
      <c r="J1104">
        <v>11441</v>
      </c>
      <c r="K1104">
        <v>0.98768768770614868</v>
      </c>
      <c r="L1104">
        <f t="shared" ca="1" si="105"/>
        <v>237.363722</v>
      </c>
      <c r="M1104">
        <f t="shared" si="106"/>
        <v>245.44154499999999</v>
      </c>
      <c r="N1104">
        <v>11441</v>
      </c>
      <c r="O1104">
        <f t="shared" ca="1" si="107"/>
        <v>0.96708860759493676</v>
      </c>
    </row>
    <row r="1105" spans="1:15" x14ac:dyDescent="0.2">
      <c r="A1105" t="str">
        <f ca="1">IFERROR(__xludf.DUMMYFUNCTION("""COMPUTED_VALUE"""),"km")</f>
        <v>km</v>
      </c>
      <c r="B1105" t="str">
        <f ca="1">IFERROR(__xludf.DUMMYFUNCTION("""COMPUTED_VALUE"""),"Model S 85")</f>
        <v>Model S 85</v>
      </c>
      <c r="D1105">
        <f ca="1">IFERROR(__xludf.DUMMYFUNCTION("""COMPUTED_VALUE"""),34786)</f>
        <v>34786</v>
      </c>
      <c r="E1105">
        <f ca="1">IFERROR(__xludf.DUMMYFUNCTION("""COMPUTED_VALUE"""),382)</f>
        <v>382</v>
      </c>
      <c r="F1105">
        <v>395</v>
      </c>
      <c r="G1105">
        <v>0.96708860759493676</v>
      </c>
      <c r="H1105">
        <v>21615</v>
      </c>
      <c r="I1105">
        <v>34786</v>
      </c>
      <c r="J1105">
        <v>21615</v>
      </c>
      <c r="K1105">
        <v>0.97725823485591334</v>
      </c>
      <c r="L1105">
        <f t="shared" ca="1" si="105"/>
        <v>237.363722</v>
      </c>
      <c r="M1105">
        <f t="shared" si="106"/>
        <v>245.44154499999999</v>
      </c>
      <c r="N1105">
        <v>21615</v>
      </c>
      <c r="O1105">
        <f t="shared" ca="1" si="107"/>
        <v>0.96708860759493676</v>
      </c>
    </row>
    <row r="1106" spans="1:15" x14ac:dyDescent="0.2">
      <c r="A1106" t="str">
        <f ca="1">IFERROR(__xludf.DUMMYFUNCTION("""COMPUTED_VALUE"""),"km")</f>
        <v>km</v>
      </c>
      <c r="B1106" t="str">
        <f ca="1">IFERROR(__xludf.DUMMYFUNCTION("""COMPUTED_VALUE"""),"Model S 85")</f>
        <v>Model S 85</v>
      </c>
      <c r="D1106">
        <f ca="1">IFERROR(__xludf.DUMMYFUNCTION("""COMPUTED_VALUE"""),21957)</f>
        <v>21957</v>
      </c>
      <c r="E1106">
        <f ca="1">IFERROR(__xludf.DUMMYFUNCTION("""COMPUTED_VALUE"""),382)</f>
        <v>382</v>
      </c>
      <c r="F1106">
        <v>395</v>
      </c>
      <c r="G1106">
        <v>0.96708860759493676</v>
      </c>
      <c r="H1106">
        <v>13643</v>
      </c>
      <c r="I1106">
        <v>21957</v>
      </c>
      <c r="J1106">
        <v>13643</v>
      </c>
      <c r="K1106">
        <v>0.98538782560134597</v>
      </c>
      <c r="L1106">
        <f t="shared" ca="1" si="105"/>
        <v>237.363722</v>
      </c>
      <c r="M1106">
        <f t="shared" si="106"/>
        <v>245.44154499999999</v>
      </c>
      <c r="N1106">
        <v>13643</v>
      </c>
      <c r="O1106">
        <f t="shared" ca="1" si="107"/>
        <v>0.96708860759493676</v>
      </c>
    </row>
    <row r="1107" spans="1:15" x14ac:dyDescent="0.2">
      <c r="A1107" t="str">
        <f ca="1">IFERROR(__xludf.DUMMYFUNCTION("""COMPUTED_VALUE"""),"km")</f>
        <v>km</v>
      </c>
      <c r="B1107" t="str">
        <f ca="1">IFERROR(__xludf.DUMMYFUNCTION("""COMPUTED_VALUE"""),"Model S 85")</f>
        <v>Model S 85</v>
      </c>
      <c r="D1107">
        <f ca="1">IFERROR(__xludf.DUMMYFUNCTION("""COMPUTED_VALUE"""),27000)</f>
        <v>27000</v>
      </c>
      <c r="E1107">
        <f ca="1">IFERROR(__xludf.DUMMYFUNCTION("""COMPUTED_VALUE"""),382)</f>
        <v>382</v>
      </c>
      <c r="F1107">
        <v>395</v>
      </c>
      <c r="G1107">
        <v>0.96708860759493676</v>
      </c>
      <c r="H1107">
        <v>16777</v>
      </c>
      <c r="I1107">
        <v>27000</v>
      </c>
      <c r="J1107">
        <v>16777</v>
      </c>
      <c r="K1107">
        <v>0.98215586999584537</v>
      </c>
      <c r="L1107">
        <f t="shared" ca="1" si="105"/>
        <v>237.363722</v>
      </c>
      <c r="M1107">
        <f t="shared" si="106"/>
        <v>245.44154499999999</v>
      </c>
      <c r="N1107">
        <v>16777</v>
      </c>
      <c r="O1107">
        <f t="shared" ca="1" si="107"/>
        <v>0.96708860759493676</v>
      </c>
    </row>
    <row r="1108" spans="1:15" x14ac:dyDescent="0.2">
      <c r="A1108" t="str">
        <f ca="1">IFERROR(__xludf.DUMMYFUNCTION("""COMPUTED_VALUE"""),"km")</f>
        <v>km</v>
      </c>
      <c r="B1108" t="str">
        <f ca="1">IFERROR(__xludf.DUMMYFUNCTION("""COMPUTED_VALUE"""),"Model S 85")</f>
        <v>Model S 85</v>
      </c>
      <c r="D1108">
        <f ca="1">IFERROR(__xludf.DUMMYFUNCTION("""COMPUTED_VALUE"""),27000)</f>
        <v>27000</v>
      </c>
      <c r="E1108">
        <f ca="1">IFERROR(__xludf.DUMMYFUNCTION("""COMPUTED_VALUE"""),382)</f>
        <v>382</v>
      </c>
      <c r="F1108">
        <v>395</v>
      </c>
      <c r="G1108">
        <v>0.96708860759493676</v>
      </c>
      <c r="H1108">
        <v>16777</v>
      </c>
      <c r="I1108">
        <v>27000</v>
      </c>
      <c r="J1108">
        <v>16777</v>
      </c>
      <c r="K1108">
        <v>0.98215586999584537</v>
      </c>
      <c r="L1108">
        <f t="shared" ca="1" si="105"/>
        <v>237.363722</v>
      </c>
      <c r="M1108">
        <f t="shared" si="106"/>
        <v>245.44154499999999</v>
      </c>
      <c r="N1108">
        <v>16777</v>
      </c>
      <c r="O1108">
        <f t="shared" ca="1" si="107"/>
        <v>0.96708860759493676</v>
      </c>
    </row>
    <row r="1109" spans="1:15" x14ac:dyDescent="0.2">
      <c r="A1109" t="str">
        <f ca="1">IFERROR(__xludf.DUMMYFUNCTION("""COMPUTED_VALUE"""),"km")</f>
        <v>km</v>
      </c>
      <c r="B1109" t="str">
        <f ca="1">IFERROR(__xludf.DUMMYFUNCTION("""COMPUTED_VALUE"""),"Unspecified 85 kWh")</f>
        <v>Unspecified 85 kWh</v>
      </c>
      <c r="D1109">
        <f ca="1">IFERROR(__xludf.DUMMYFUNCTION("""COMPUTED_VALUE"""),24000)</f>
        <v>24000</v>
      </c>
      <c r="E1109">
        <f ca="1">IFERROR(__xludf.DUMMYFUNCTION("""COMPUTED_VALUE"""),382)</f>
        <v>382</v>
      </c>
      <c r="F1109">
        <v>395</v>
      </c>
      <c r="G1109">
        <v>0.96708860759493676</v>
      </c>
      <c r="H1109">
        <v>14913</v>
      </c>
      <c r="I1109">
        <v>24000</v>
      </c>
      <c r="J1109">
        <v>14913</v>
      </c>
      <c r="K1109">
        <v>0.98407287113554054</v>
      </c>
      <c r="L1109">
        <f t="shared" ca="1" si="105"/>
        <v>237.363722</v>
      </c>
      <c r="M1109">
        <f t="shared" si="106"/>
        <v>245.44154499999999</v>
      </c>
      <c r="N1109">
        <v>14913</v>
      </c>
      <c r="O1109">
        <f t="shared" ca="1" si="107"/>
        <v>0.96708860759493676</v>
      </c>
    </row>
    <row r="1110" spans="1:15" x14ac:dyDescent="0.2">
      <c r="A1110" t="str">
        <f ca="1">IFERROR(__xludf.DUMMYFUNCTION("""COMPUTED_VALUE"""),"km")</f>
        <v>km</v>
      </c>
      <c r="B1110" t="str">
        <f ca="1">IFERROR(__xludf.DUMMYFUNCTION("""COMPUTED_VALUE"""),"Model S P85")</f>
        <v>Model S P85</v>
      </c>
      <c r="C1110">
        <f ca="1">IFERROR(__xludf.DUMMYFUNCTION("""COMPUTED_VALUE"""),430)</f>
        <v>430</v>
      </c>
      <c r="D1110">
        <f ca="1">IFERROR(__xludf.DUMMYFUNCTION("""COMPUTED_VALUE"""),59365)</f>
        <v>59365</v>
      </c>
      <c r="E1110">
        <f ca="1">IFERROR(__xludf.DUMMYFUNCTION("""COMPUTED_VALUE"""),414)</f>
        <v>414</v>
      </c>
      <c r="F1110">
        <v>428</v>
      </c>
      <c r="G1110">
        <v>0.96728971962616828</v>
      </c>
      <c r="H1110">
        <v>36888</v>
      </c>
      <c r="I1110">
        <v>59365</v>
      </c>
      <c r="J1110">
        <v>36888</v>
      </c>
      <c r="K1110">
        <v>0.96254248314070701</v>
      </c>
      <c r="L1110">
        <f t="shared" ca="1" si="105"/>
        <v>257.24759399999999</v>
      </c>
      <c r="M1110">
        <f t="shared" si="106"/>
        <v>265.94678800000003</v>
      </c>
      <c r="N1110">
        <v>36888</v>
      </c>
      <c r="O1110">
        <f t="shared" ca="1" si="107"/>
        <v>0.96728971962616805</v>
      </c>
    </row>
    <row r="1111" spans="1:15" x14ac:dyDescent="0.2">
      <c r="A1111" t="str">
        <f ca="1">IFERROR(__xludf.DUMMYFUNCTION("""COMPUTED_VALUE"""),"km")</f>
        <v>km</v>
      </c>
      <c r="B1111" t="str">
        <f ca="1">IFERROR(__xludf.DUMMYFUNCTION("""COMPUTED_VALUE"""),"Model S P85+")</f>
        <v>Model S P85+</v>
      </c>
      <c r="D1111">
        <f ca="1">IFERROR(__xludf.DUMMYFUNCTION("""COMPUTED_VALUE"""),29628.8)</f>
        <v>29628.799999999999</v>
      </c>
      <c r="E1111">
        <f ca="1">IFERROR(__xludf.DUMMYFUNCTION("""COMPUTED_VALUE"""),414)</f>
        <v>414</v>
      </c>
      <c r="F1111">
        <v>428</v>
      </c>
      <c r="G1111">
        <v>0.96728971962616828</v>
      </c>
      <c r="H1111">
        <v>18410</v>
      </c>
      <c r="I1111">
        <v>29628.799999999999</v>
      </c>
      <c r="J1111">
        <v>18410</v>
      </c>
      <c r="K1111">
        <v>0.98048971582903088</v>
      </c>
      <c r="L1111">
        <f t="shared" ca="1" si="105"/>
        <v>257.24759399999999</v>
      </c>
      <c r="M1111">
        <f t="shared" si="106"/>
        <v>265.94678800000003</v>
      </c>
      <c r="N1111">
        <v>18410</v>
      </c>
      <c r="O1111">
        <f t="shared" ca="1" si="107"/>
        <v>0.96728971962616805</v>
      </c>
    </row>
    <row r="1112" spans="1:15" x14ac:dyDescent="0.2">
      <c r="A1112" t="str">
        <f ca="1">IFERROR(__xludf.DUMMYFUNCTION("""COMPUTED_VALUE"""),"mi")</f>
        <v>mi</v>
      </c>
      <c r="B1112" t="str">
        <f ca="1">IFERROR(__xludf.DUMMYFUNCTION("""COMPUTED_VALUE"""),"Model S 75")</f>
        <v>Model S 75</v>
      </c>
      <c r="D1112">
        <f ca="1">IFERROR(__xludf.DUMMYFUNCTION("""COMPUTED_VALUE"""),11536)</f>
        <v>11536</v>
      </c>
      <c r="E1112">
        <f ca="1">IFERROR(__xludf.DUMMYFUNCTION("""COMPUTED_VALUE"""),238)</f>
        <v>238</v>
      </c>
      <c r="F1112">
        <v>246</v>
      </c>
      <c r="G1112">
        <v>0.96747967479674801</v>
      </c>
      <c r="H1112">
        <v>11536</v>
      </c>
      <c r="I1112">
        <v>18565</v>
      </c>
      <c r="J1112">
        <v>11536</v>
      </c>
      <c r="K1112">
        <v>0.98758795225107809</v>
      </c>
      <c r="L1112">
        <f ca="1">IFERROR(__xludf.DUMMYFUNCTION("""COMPUTED_VALUE"""),238)</f>
        <v>238</v>
      </c>
      <c r="M1112">
        <v>246</v>
      </c>
      <c r="N1112">
        <v>11536</v>
      </c>
      <c r="O1112">
        <f t="shared" ca="1" si="107"/>
        <v>0.96747967479674801</v>
      </c>
    </row>
    <row r="1113" spans="1:15" x14ac:dyDescent="0.2">
      <c r="A1113" t="str">
        <f ca="1">IFERROR(__xludf.DUMMYFUNCTION("""COMPUTED_VALUE"""),"mi")</f>
        <v>mi</v>
      </c>
      <c r="B1113" t="str">
        <f ca="1">IFERROR(__xludf.DUMMYFUNCTION("""COMPUTED_VALUE"""),"Model S 90D 2015")</f>
        <v>Model S 90D 2015</v>
      </c>
      <c r="C1113">
        <f ca="1">IFERROR(__xludf.DUMMYFUNCTION("""COMPUTED_VALUE"""),283)</f>
        <v>283</v>
      </c>
      <c r="D1113">
        <f ca="1">IFERROR(__xludf.DUMMYFUNCTION("""COMPUTED_VALUE"""),4696)</f>
        <v>4696</v>
      </c>
      <c r="E1113">
        <f ca="1">IFERROR(__xludf.DUMMYFUNCTION("""COMPUTED_VALUE"""),268)</f>
        <v>268</v>
      </c>
      <c r="F1113">
        <v>277</v>
      </c>
      <c r="G1113">
        <v>0.96750902527075811</v>
      </c>
      <c r="H1113">
        <v>4696</v>
      </c>
      <c r="I1113">
        <v>7557</v>
      </c>
      <c r="J1113">
        <v>4696</v>
      </c>
      <c r="K1113">
        <v>0.99487242465951597</v>
      </c>
      <c r="L1113">
        <f ca="1">IFERROR(__xludf.DUMMYFUNCTION("""COMPUTED_VALUE"""),268)</f>
        <v>268</v>
      </c>
      <c r="M1113">
        <v>277</v>
      </c>
      <c r="N1113">
        <v>4696</v>
      </c>
      <c r="O1113">
        <f t="shared" ca="1" si="107"/>
        <v>0.96750902527075811</v>
      </c>
    </row>
    <row r="1114" spans="1:15" x14ac:dyDescent="0.2">
      <c r="A1114" t="str">
        <f ca="1">IFERROR(__xludf.DUMMYFUNCTION("""COMPUTED_VALUE"""),"km")</f>
        <v>km</v>
      </c>
      <c r="B1114" t="str">
        <f ca="1">IFERROR(__xludf.DUMMYFUNCTION("""COMPUTED_VALUE"""),"Model S P85D")</f>
        <v>Model S P85D</v>
      </c>
      <c r="D1114">
        <f ca="1">IFERROR(__xludf.DUMMYFUNCTION("""COMPUTED_VALUE"""),37444)</f>
        <v>37444</v>
      </c>
      <c r="E1114">
        <f ca="1">IFERROR(__xludf.DUMMYFUNCTION("""COMPUTED_VALUE"""),390)</f>
        <v>390</v>
      </c>
      <c r="F1114">
        <v>403</v>
      </c>
      <c r="G1114">
        <v>0.967741935483871</v>
      </c>
      <c r="H1114">
        <v>23267</v>
      </c>
      <c r="I1114">
        <v>37444</v>
      </c>
      <c r="J1114">
        <v>23267</v>
      </c>
      <c r="K1114">
        <v>0.97561205988323363</v>
      </c>
      <c r="L1114">
        <f t="shared" ref="L1114:M1116" ca="1" si="108">E1114*0.621371</f>
        <v>242.33468999999999</v>
      </c>
      <c r="M1114">
        <f t="shared" si="108"/>
        <v>250.41251299999999</v>
      </c>
      <c r="N1114">
        <v>23267</v>
      </c>
      <c r="O1114">
        <f t="shared" ca="1" si="107"/>
        <v>0.967741935483871</v>
      </c>
    </row>
    <row r="1115" spans="1:15" x14ac:dyDescent="0.2">
      <c r="A1115" t="str">
        <f ca="1">IFERROR(__xludf.DUMMYFUNCTION("""COMPUTED_VALUE"""),"km")</f>
        <v>km</v>
      </c>
      <c r="B1115" t="str">
        <f ca="1">IFERROR(__xludf.DUMMYFUNCTION("""COMPUTED_VALUE"""),"Model S P85D")</f>
        <v>Model S P85D</v>
      </c>
      <c r="C1115">
        <f ca="1">IFERROR(__xludf.DUMMYFUNCTION("""COMPUTED_VALUE"""),406)</f>
        <v>406</v>
      </c>
      <c r="D1115">
        <f ca="1">IFERROR(__xludf.DUMMYFUNCTION("""COMPUTED_VALUE"""),46881)</f>
        <v>46881</v>
      </c>
      <c r="E1115">
        <f ca="1">IFERROR(__xludf.DUMMYFUNCTION("""COMPUTED_VALUE"""),390)</f>
        <v>390</v>
      </c>
      <c r="F1115">
        <v>403</v>
      </c>
      <c r="G1115">
        <v>0.967741935483871</v>
      </c>
      <c r="H1115">
        <v>29131</v>
      </c>
      <c r="I1115">
        <v>46881</v>
      </c>
      <c r="J1115">
        <v>29131</v>
      </c>
      <c r="K1115">
        <v>0.96987429563580707</v>
      </c>
      <c r="L1115">
        <f t="shared" ca="1" si="108"/>
        <v>242.33468999999999</v>
      </c>
      <c r="M1115">
        <f t="shared" si="108"/>
        <v>250.41251299999999</v>
      </c>
      <c r="N1115">
        <v>29131</v>
      </c>
      <c r="O1115">
        <f t="shared" ca="1" si="107"/>
        <v>0.967741935483871</v>
      </c>
    </row>
    <row r="1116" spans="1:15" x14ac:dyDescent="0.2">
      <c r="A1116" t="str">
        <f ca="1">IFERROR(__xludf.DUMMYFUNCTION("""COMPUTED_VALUE"""),"km")</f>
        <v>km</v>
      </c>
      <c r="B1116" t="str">
        <f ca="1">IFERROR(__xludf.DUMMYFUNCTION("""COMPUTED_VALUE"""),"Model S P85D")</f>
        <v>Model S P85D</v>
      </c>
      <c r="C1116">
        <f ca="1">IFERROR(__xludf.DUMMYFUNCTION("""COMPUTED_VALUE"""),406)</f>
        <v>406</v>
      </c>
      <c r="D1116">
        <f ca="1">IFERROR(__xludf.DUMMYFUNCTION("""COMPUTED_VALUE"""),19091)</f>
        <v>19091</v>
      </c>
      <c r="E1116">
        <f ca="1">IFERROR(__xludf.DUMMYFUNCTION("""COMPUTED_VALUE"""),390)</f>
        <v>390</v>
      </c>
      <c r="F1116">
        <v>403</v>
      </c>
      <c r="G1116">
        <v>0.967741935483871</v>
      </c>
      <c r="H1116">
        <v>11863</v>
      </c>
      <c r="I1116">
        <v>19091</v>
      </c>
      <c r="J1116">
        <v>11863</v>
      </c>
      <c r="K1116">
        <v>0.98724539730415295</v>
      </c>
      <c r="L1116">
        <f t="shared" ca="1" si="108"/>
        <v>242.33468999999999</v>
      </c>
      <c r="M1116">
        <f t="shared" si="108"/>
        <v>250.41251299999999</v>
      </c>
      <c r="N1116">
        <v>11863</v>
      </c>
      <c r="O1116">
        <f t="shared" ca="1" si="107"/>
        <v>0.967741935483871</v>
      </c>
    </row>
    <row r="1117" spans="1:15" x14ac:dyDescent="0.2">
      <c r="A1117" t="str">
        <f ca="1">IFERROR(__xludf.DUMMYFUNCTION("""COMPUTED_VALUE"""),"mi")</f>
        <v>mi</v>
      </c>
      <c r="B1117" t="str">
        <f ca="1">IFERROR(__xludf.DUMMYFUNCTION("""COMPUTED_VALUE"""),"Model 3 LR AWD")</f>
        <v>Model 3 LR AWD</v>
      </c>
      <c r="D1117">
        <f ca="1">IFERROR(__xludf.DUMMYFUNCTION("""COMPUTED_VALUE"""),15774)</f>
        <v>15774</v>
      </c>
      <c r="E1117">
        <f ca="1">IFERROR(__xludf.DUMMYFUNCTION("""COMPUTED_VALUE"""),300)</f>
        <v>300</v>
      </c>
      <c r="F1117">
        <v>310</v>
      </c>
      <c r="G1117">
        <v>0.967741935483871</v>
      </c>
      <c r="H1117">
        <v>15774</v>
      </c>
      <c r="I1117">
        <v>25386</v>
      </c>
      <c r="J1117">
        <v>15774</v>
      </c>
      <c r="K1117">
        <v>0.98318515631372361</v>
      </c>
      <c r="L1117">
        <f ca="1">IFERROR(__xludf.DUMMYFUNCTION("""COMPUTED_VALUE"""),300)</f>
        <v>300</v>
      </c>
      <c r="M1117">
        <v>310</v>
      </c>
      <c r="N1117">
        <v>15774</v>
      </c>
      <c r="O1117">
        <f t="shared" ca="1" si="107"/>
        <v>0.967741935483871</v>
      </c>
    </row>
    <row r="1118" spans="1:15" x14ac:dyDescent="0.2">
      <c r="A1118" t="str">
        <f ca="1">IFERROR(__xludf.DUMMYFUNCTION("""COMPUTED_VALUE"""),"mi")</f>
        <v>mi</v>
      </c>
      <c r="B1118" t="str">
        <f ca="1">IFERROR(__xludf.DUMMYFUNCTION("""COMPUTED_VALUE"""),"Model 3 LR AWD")</f>
        <v>Model 3 LR AWD</v>
      </c>
      <c r="C1118">
        <f ca="1">IFERROR(__xludf.DUMMYFUNCTION("""COMPUTED_VALUE"""),310)</f>
        <v>310</v>
      </c>
      <c r="D1118">
        <f ca="1">IFERROR(__xludf.DUMMYFUNCTION("""COMPUTED_VALUE"""),14899)</f>
        <v>14899</v>
      </c>
      <c r="E1118">
        <f ca="1">IFERROR(__xludf.DUMMYFUNCTION("""COMPUTED_VALUE"""),300)</f>
        <v>300</v>
      </c>
      <c r="F1118">
        <v>310</v>
      </c>
      <c r="G1118">
        <v>0.967741935483871</v>
      </c>
      <c r="H1118">
        <v>14899</v>
      </c>
      <c r="I1118">
        <v>23978</v>
      </c>
      <c r="J1118">
        <v>14899</v>
      </c>
      <c r="K1118">
        <v>0.98408699034348213</v>
      </c>
      <c r="L1118">
        <f ca="1">IFERROR(__xludf.DUMMYFUNCTION("""COMPUTED_VALUE"""),300)</f>
        <v>300</v>
      </c>
      <c r="M1118">
        <v>310</v>
      </c>
      <c r="N1118">
        <v>14899</v>
      </c>
      <c r="O1118">
        <f t="shared" ca="1" si="107"/>
        <v>0.967741935483871</v>
      </c>
    </row>
    <row r="1119" spans="1:15" x14ac:dyDescent="0.2">
      <c r="A1119" t="str">
        <f ca="1">IFERROR(__xludf.DUMMYFUNCTION("""COMPUTED_VALUE"""),"mi")</f>
        <v>mi</v>
      </c>
      <c r="B1119" t="str">
        <f ca="1">IFERROR(__xludf.DUMMYFUNCTION("""COMPUTED_VALUE"""),"Model 3 P")</f>
        <v>Model 3 P</v>
      </c>
      <c r="C1119">
        <f ca="1">IFERROR(__xludf.DUMMYFUNCTION("""COMPUTED_VALUE"""),310)</f>
        <v>310</v>
      </c>
      <c r="D1119">
        <f ca="1">IFERROR(__xludf.DUMMYFUNCTION("""COMPUTED_VALUE"""),11600)</f>
        <v>11600</v>
      </c>
      <c r="E1119">
        <f ca="1">IFERROR(__xludf.DUMMYFUNCTION("""COMPUTED_VALUE"""),300)</f>
        <v>300</v>
      </c>
      <c r="F1119">
        <v>310</v>
      </c>
      <c r="G1119">
        <v>0.967741935483871</v>
      </c>
      <c r="H1119">
        <v>11600</v>
      </c>
      <c r="I1119">
        <v>18668</v>
      </c>
      <c r="J1119">
        <v>11600</v>
      </c>
      <c r="K1119">
        <v>0.98752083417719771</v>
      </c>
      <c r="L1119">
        <f ca="1">IFERROR(__xludf.DUMMYFUNCTION("""COMPUTED_VALUE"""),300)</f>
        <v>300</v>
      </c>
      <c r="M1119">
        <v>310</v>
      </c>
      <c r="N1119">
        <v>11600</v>
      </c>
      <c r="O1119">
        <f t="shared" ca="1" si="107"/>
        <v>0.967741935483871</v>
      </c>
    </row>
    <row r="1120" spans="1:15" x14ac:dyDescent="0.2">
      <c r="A1120" t="str">
        <f ca="1">IFERROR(__xludf.DUMMYFUNCTION("""COMPUTED_VALUE"""),"km")</f>
        <v>km</v>
      </c>
      <c r="B1120" t="str">
        <f ca="1">IFERROR(__xludf.DUMMYFUNCTION("""COMPUTED_VALUE"""),"Model 3 LR AWD")</f>
        <v>Model 3 LR AWD</v>
      </c>
      <c r="C1120">
        <f ca="1">IFERROR(__xludf.DUMMYFUNCTION("""COMPUTED_VALUE"""),499)</f>
        <v>499</v>
      </c>
      <c r="D1120">
        <f ca="1">IFERROR(__xludf.DUMMYFUNCTION("""COMPUTED_VALUE"""),12045)</f>
        <v>12045</v>
      </c>
      <c r="E1120">
        <f ca="1">IFERROR(__xludf.DUMMYFUNCTION("""COMPUTED_VALUE"""),483)</f>
        <v>483</v>
      </c>
      <c r="F1120">
        <v>499</v>
      </c>
      <c r="G1120">
        <v>0.96793587174348694</v>
      </c>
      <c r="H1120">
        <v>7484</v>
      </c>
      <c r="I1120">
        <v>12045</v>
      </c>
      <c r="J1120">
        <v>7484</v>
      </c>
      <c r="K1120">
        <v>0.99187595649119409</v>
      </c>
      <c r="L1120">
        <f t="shared" ref="L1120:M1125" ca="1" si="109">E1120*0.621371</f>
        <v>300.12219299999998</v>
      </c>
      <c r="M1120">
        <f t="shared" si="109"/>
        <v>310.06412899999998</v>
      </c>
      <c r="N1120">
        <v>7484</v>
      </c>
      <c r="O1120">
        <f t="shared" ca="1" si="107"/>
        <v>0.96793587174348694</v>
      </c>
    </row>
    <row r="1121" spans="1:15" x14ac:dyDescent="0.2">
      <c r="A1121" t="str">
        <f ca="1">IFERROR(__xludf.DUMMYFUNCTION("""COMPUTED_VALUE"""),"km")</f>
        <v>km</v>
      </c>
      <c r="B1121" t="str">
        <f ca="1">IFERROR(__xludf.DUMMYFUNCTION("""COMPUTED_VALUE"""),"Model 3 LR AWD")</f>
        <v>Model 3 LR AWD</v>
      </c>
      <c r="C1121">
        <f ca="1">IFERROR(__xludf.DUMMYFUNCTION("""COMPUTED_VALUE"""),499)</f>
        <v>499</v>
      </c>
      <c r="D1121">
        <f ca="1">IFERROR(__xludf.DUMMYFUNCTION("""COMPUTED_VALUE"""),16660)</f>
        <v>16660</v>
      </c>
      <c r="E1121">
        <f ca="1">IFERROR(__xludf.DUMMYFUNCTION("""COMPUTED_VALUE"""),483)</f>
        <v>483</v>
      </c>
      <c r="F1121">
        <v>499</v>
      </c>
      <c r="G1121">
        <v>0.96793587174348694</v>
      </c>
      <c r="H1121">
        <v>10352</v>
      </c>
      <c r="I1121">
        <v>16660</v>
      </c>
      <c r="J1121">
        <v>10352</v>
      </c>
      <c r="K1121">
        <v>0.98883280401031426</v>
      </c>
      <c r="L1121">
        <f t="shared" ca="1" si="109"/>
        <v>300.12219299999998</v>
      </c>
      <c r="M1121">
        <f t="shared" si="109"/>
        <v>310.06412899999998</v>
      </c>
      <c r="N1121">
        <v>10352</v>
      </c>
      <c r="O1121">
        <f t="shared" ca="1" si="107"/>
        <v>0.96793587174348694</v>
      </c>
    </row>
    <row r="1122" spans="1:15" x14ac:dyDescent="0.2">
      <c r="A1122" t="str">
        <f ca="1">IFERROR(__xludf.DUMMYFUNCTION("""COMPUTED_VALUE"""),"km")</f>
        <v>km</v>
      </c>
      <c r="B1122" t="str">
        <f ca="1">IFERROR(__xludf.DUMMYFUNCTION("""COMPUTED_VALUE"""),"Model 3 LR AWD")</f>
        <v>Model 3 LR AWD</v>
      </c>
      <c r="C1122">
        <f ca="1">IFERROR(__xludf.DUMMYFUNCTION("""COMPUTED_VALUE"""),498)</f>
        <v>498</v>
      </c>
      <c r="D1122">
        <f ca="1">IFERROR(__xludf.DUMMYFUNCTION("""COMPUTED_VALUE"""),18000)</f>
        <v>18000</v>
      </c>
      <c r="E1122">
        <f ca="1">IFERROR(__xludf.DUMMYFUNCTION("""COMPUTED_VALUE"""),483)</f>
        <v>483</v>
      </c>
      <c r="F1122">
        <v>499</v>
      </c>
      <c r="G1122">
        <v>0.96793587174348694</v>
      </c>
      <c r="H1122">
        <v>11185</v>
      </c>
      <c r="I1122">
        <v>18000</v>
      </c>
      <c r="J1122">
        <v>11185</v>
      </c>
      <c r="K1122">
        <v>0.98795646904438894</v>
      </c>
      <c r="L1122">
        <f t="shared" ca="1" si="109"/>
        <v>300.12219299999998</v>
      </c>
      <c r="M1122">
        <f t="shared" si="109"/>
        <v>310.06412899999998</v>
      </c>
      <c r="N1122">
        <v>11185</v>
      </c>
      <c r="O1122">
        <f t="shared" ca="1" si="107"/>
        <v>0.96793587174348694</v>
      </c>
    </row>
    <row r="1123" spans="1:15" x14ac:dyDescent="0.2">
      <c r="A1123" t="str">
        <f ca="1">IFERROR(__xludf.DUMMYFUNCTION("""COMPUTED_VALUE"""),"km")</f>
        <v>km</v>
      </c>
      <c r="B1123" t="str">
        <f ca="1">IFERROR(__xludf.DUMMYFUNCTION("""COMPUTED_VALUE"""),"Model S 60")</f>
        <v>Model S 60</v>
      </c>
      <c r="C1123">
        <f ca="1">IFERROR(__xludf.DUMMYFUNCTION("""COMPUTED_VALUE"""),286)</f>
        <v>286</v>
      </c>
      <c r="D1123">
        <f ca="1">IFERROR(__xludf.DUMMYFUNCTION("""COMPUTED_VALUE"""),39300)</f>
        <v>39300</v>
      </c>
      <c r="E1123">
        <f ca="1">IFERROR(__xludf.DUMMYFUNCTION("""COMPUTED_VALUE"""),275)</f>
        <v>275</v>
      </c>
      <c r="F1123">
        <v>284</v>
      </c>
      <c r="G1123">
        <v>0.96830985915492962</v>
      </c>
      <c r="H1123">
        <v>24420</v>
      </c>
      <c r="I1123">
        <v>39300</v>
      </c>
      <c r="J1123">
        <v>24420</v>
      </c>
      <c r="K1123">
        <v>0.97447040580439204</v>
      </c>
      <c r="L1123">
        <f t="shared" ca="1" si="109"/>
        <v>170.877025</v>
      </c>
      <c r="M1123">
        <f t="shared" si="109"/>
        <v>176.46936400000001</v>
      </c>
      <c r="N1123">
        <v>24420</v>
      </c>
      <c r="O1123">
        <f t="shared" ca="1" si="107"/>
        <v>0.96830985915492951</v>
      </c>
    </row>
    <row r="1124" spans="1:15" x14ac:dyDescent="0.2">
      <c r="A1124" t="str">
        <f ca="1">IFERROR(__xludf.DUMMYFUNCTION("""COMPUTED_VALUE"""),"km")</f>
        <v>km</v>
      </c>
      <c r="B1124" t="str">
        <f ca="1">IFERROR(__xludf.DUMMYFUNCTION("""COMPUTED_VALUE"""),"Model S 60")</f>
        <v>Model S 60</v>
      </c>
      <c r="D1124">
        <f ca="1">IFERROR(__xludf.DUMMYFUNCTION("""COMPUTED_VALUE"""),37069)</f>
        <v>37069</v>
      </c>
      <c r="E1124">
        <f ca="1">IFERROR(__xludf.DUMMYFUNCTION("""COMPUTED_VALUE"""),275)</f>
        <v>275</v>
      </c>
      <c r="F1124">
        <v>284</v>
      </c>
      <c r="G1124">
        <v>0.96830985915492962</v>
      </c>
      <c r="H1124">
        <v>23034</v>
      </c>
      <c r="I1124">
        <v>37069</v>
      </c>
      <c r="J1124">
        <v>23034</v>
      </c>
      <c r="K1124">
        <v>0.97584350966588285</v>
      </c>
      <c r="L1124">
        <f t="shared" ca="1" si="109"/>
        <v>170.877025</v>
      </c>
      <c r="M1124">
        <f t="shared" si="109"/>
        <v>176.46936400000001</v>
      </c>
      <c r="N1124">
        <v>23034</v>
      </c>
      <c r="O1124">
        <f t="shared" ca="1" si="107"/>
        <v>0.96830985915492951</v>
      </c>
    </row>
    <row r="1125" spans="1:15" x14ac:dyDescent="0.2">
      <c r="A1125" t="str">
        <f ca="1">IFERROR(__xludf.DUMMYFUNCTION("""COMPUTED_VALUE"""),"km")</f>
        <v>km</v>
      </c>
      <c r="B1125" t="str">
        <f ca="1">IFERROR(__xludf.DUMMYFUNCTION("""COMPUTED_VALUE"""),"Model S 60")</f>
        <v>Model S 60</v>
      </c>
      <c r="D1125">
        <f ca="1">IFERROR(__xludf.DUMMYFUNCTION("""COMPUTED_VALUE"""),27120)</f>
        <v>27120</v>
      </c>
      <c r="E1125">
        <f ca="1">IFERROR(__xludf.DUMMYFUNCTION("""COMPUTED_VALUE"""),275)</f>
        <v>275</v>
      </c>
      <c r="F1125">
        <v>284</v>
      </c>
      <c r="G1125">
        <v>0.96830985915492962</v>
      </c>
      <c r="H1125">
        <v>16852</v>
      </c>
      <c r="I1125">
        <v>27120</v>
      </c>
      <c r="J1125">
        <v>16852</v>
      </c>
      <c r="K1125">
        <v>0.98207953500148792</v>
      </c>
      <c r="L1125">
        <f t="shared" ca="1" si="109"/>
        <v>170.877025</v>
      </c>
      <c r="M1125">
        <f t="shared" si="109"/>
        <v>176.46936400000001</v>
      </c>
      <c r="N1125">
        <v>16852</v>
      </c>
      <c r="O1125">
        <f t="shared" ca="1" si="107"/>
        <v>0.96830985915492951</v>
      </c>
    </row>
    <row r="1126" spans="1:15" x14ac:dyDescent="0.2">
      <c r="A1126" t="str">
        <f ca="1">IFERROR(__xludf.DUMMYFUNCTION("""COMPUTED_VALUE"""),"mi")</f>
        <v>mi</v>
      </c>
      <c r="B1126" t="str">
        <f ca="1">IFERROR(__xludf.DUMMYFUNCTION("""COMPUTED_VALUE"""),"Model S P85D")</f>
        <v>Model S P85D</v>
      </c>
      <c r="C1126">
        <f ca="1">IFERROR(__xludf.DUMMYFUNCTION("""COMPUTED_VALUE"""),265)</f>
        <v>265</v>
      </c>
      <c r="D1126">
        <f ca="1">IFERROR(__xludf.DUMMYFUNCTION("""COMPUTED_VALUE"""),24252)</f>
        <v>24252</v>
      </c>
      <c r="E1126">
        <f ca="1">IFERROR(__xludf.DUMMYFUNCTION("""COMPUTED_VALUE"""),245)</f>
        <v>245</v>
      </c>
      <c r="F1126">
        <v>253</v>
      </c>
      <c r="G1126">
        <v>0.96837944664031617</v>
      </c>
      <c r="H1126">
        <v>24252</v>
      </c>
      <c r="I1126">
        <v>39030</v>
      </c>
      <c r="J1126">
        <v>24252</v>
      </c>
      <c r="K1126">
        <v>0.97463608663104695</v>
      </c>
      <c r="L1126">
        <f ca="1">IFERROR(__xludf.DUMMYFUNCTION("""COMPUTED_VALUE"""),245)</f>
        <v>245</v>
      </c>
      <c r="M1126">
        <v>253</v>
      </c>
      <c r="N1126">
        <v>24252</v>
      </c>
      <c r="O1126">
        <f t="shared" ca="1" si="107"/>
        <v>0.96837944664031617</v>
      </c>
    </row>
    <row r="1127" spans="1:15" x14ac:dyDescent="0.2">
      <c r="A1127" t="str">
        <f ca="1">IFERROR(__xludf.DUMMYFUNCTION("""COMPUTED_VALUE"""),"km")</f>
        <v>km</v>
      </c>
      <c r="B1127" t="str">
        <f ca="1">IFERROR(__xludf.DUMMYFUNCTION("""COMPUTED_VALUE"""),"Model 3 SR+")</f>
        <v>Model 3 SR+</v>
      </c>
      <c r="C1127">
        <f ca="1">IFERROR(__xludf.DUMMYFUNCTION("""COMPUTED_VALUE"""),381)</f>
        <v>381</v>
      </c>
      <c r="D1127">
        <f ca="1">IFERROR(__xludf.DUMMYFUNCTION("""COMPUTED_VALUE"""),7366)</f>
        <v>7366</v>
      </c>
      <c r="E1127">
        <f ca="1">IFERROR(__xludf.DUMMYFUNCTION("""COMPUTED_VALUE"""),369)</f>
        <v>369</v>
      </c>
      <c r="F1127">
        <v>381</v>
      </c>
      <c r="G1127">
        <v>0.96850393700787396</v>
      </c>
      <c r="H1127">
        <v>4577</v>
      </c>
      <c r="I1127">
        <v>7366</v>
      </c>
      <c r="J1127">
        <v>4577</v>
      </c>
      <c r="K1127">
        <v>0.99500075599227567</v>
      </c>
      <c r="L1127">
        <f t="shared" ref="L1127:L1136" ca="1" si="110">E1127*0.621371</f>
        <v>229.285899</v>
      </c>
      <c r="M1127">
        <f t="shared" ref="M1127:M1136" si="111">F1127*0.621371</f>
        <v>236.74235100000001</v>
      </c>
      <c r="N1127">
        <v>4577</v>
      </c>
      <c r="O1127">
        <f t="shared" ca="1" si="107"/>
        <v>0.96850393700787396</v>
      </c>
    </row>
    <row r="1128" spans="1:15" x14ac:dyDescent="0.2">
      <c r="A1128" t="str">
        <f ca="1">IFERROR(__xludf.DUMMYFUNCTION("""COMPUTED_VALUE"""),"km")</f>
        <v>km</v>
      </c>
      <c r="B1128" t="str">
        <f ca="1">IFERROR(__xludf.DUMMYFUNCTION("""COMPUTED_VALUE"""),"Model 3 SR+")</f>
        <v>Model 3 SR+</v>
      </c>
      <c r="C1128">
        <f ca="1">IFERROR(__xludf.DUMMYFUNCTION("""COMPUTED_VALUE"""),381)</f>
        <v>381</v>
      </c>
      <c r="D1128">
        <f ca="1">IFERROR(__xludf.DUMMYFUNCTION("""COMPUTED_VALUE"""),18957)</f>
        <v>18957</v>
      </c>
      <c r="E1128">
        <f ca="1">IFERROR(__xludf.DUMMYFUNCTION("""COMPUTED_VALUE"""),369)</f>
        <v>369</v>
      </c>
      <c r="F1128">
        <v>381</v>
      </c>
      <c r="G1128">
        <v>0.96850393700787396</v>
      </c>
      <c r="H1128">
        <v>11779</v>
      </c>
      <c r="I1128">
        <v>18957</v>
      </c>
      <c r="J1128">
        <v>11779</v>
      </c>
      <c r="K1128">
        <v>0.98733261613579493</v>
      </c>
      <c r="L1128">
        <f t="shared" ca="1" si="110"/>
        <v>229.285899</v>
      </c>
      <c r="M1128">
        <f t="shared" si="111"/>
        <v>236.74235100000001</v>
      </c>
      <c r="N1128">
        <v>11779</v>
      </c>
      <c r="O1128">
        <f t="shared" ca="1" si="107"/>
        <v>0.96850393700787396</v>
      </c>
    </row>
    <row r="1129" spans="1:15" x14ac:dyDescent="0.2">
      <c r="A1129" t="str">
        <f ca="1">IFERROR(__xludf.DUMMYFUNCTION("""COMPUTED_VALUE"""),"km")</f>
        <v>km</v>
      </c>
      <c r="B1129" t="str">
        <f ca="1">IFERROR(__xludf.DUMMYFUNCTION("""COMPUTED_VALUE"""),"Model S 90D")</f>
        <v>Model S 90D</v>
      </c>
      <c r="D1129">
        <f ca="1">IFERROR(__xludf.DUMMYFUNCTION("""COMPUTED_VALUE"""),45500)</f>
        <v>45500</v>
      </c>
      <c r="E1129">
        <f ca="1">IFERROR(__xludf.DUMMYFUNCTION("""COMPUTED_VALUE"""),433)</f>
        <v>433</v>
      </c>
      <c r="F1129">
        <v>447</v>
      </c>
      <c r="G1129">
        <v>0.96868008948545858</v>
      </c>
      <c r="H1129">
        <v>28272</v>
      </c>
      <c r="I1129">
        <v>45500</v>
      </c>
      <c r="J1129">
        <v>28272</v>
      </c>
      <c r="K1129">
        <v>0.97070349775792464</v>
      </c>
      <c r="L1129">
        <f t="shared" ca="1" si="110"/>
        <v>269.05364300000002</v>
      </c>
      <c r="M1129">
        <f t="shared" si="111"/>
        <v>277.752837</v>
      </c>
      <c r="N1129">
        <v>28272</v>
      </c>
      <c r="O1129">
        <f t="shared" ca="1" si="107"/>
        <v>0.9686800894854587</v>
      </c>
    </row>
    <row r="1130" spans="1:15" x14ac:dyDescent="0.2">
      <c r="A1130" t="str">
        <f ca="1">IFERROR(__xludf.DUMMYFUNCTION("""COMPUTED_VALUE"""),"km")</f>
        <v>km</v>
      </c>
      <c r="B1130" t="str">
        <f ca="1">IFERROR(__xludf.DUMMYFUNCTION("""COMPUTED_VALUE"""),"Model S 90D")</f>
        <v>Model S 90D</v>
      </c>
      <c r="C1130">
        <f ca="1">IFERROR(__xludf.DUMMYFUNCTION("""COMPUTED_VALUE"""),457)</f>
        <v>457</v>
      </c>
      <c r="D1130">
        <f ca="1">IFERROR(__xludf.DUMMYFUNCTION("""COMPUTED_VALUE"""),15000)</f>
        <v>15000</v>
      </c>
      <c r="E1130">
        <f ca="1">IFERROR(__xludf.DUMMYFUNCTION("""COMPUTED_VALUE"""),433)</f>
        <v>433</v>
      </c>
      <c r="F1130">
        <v>447</v>
      </c>
      <c r="G1130">
        <v>0.96868008948545858</v>
      </c>
      <c r="H1130">
        <v>9321</v>
      </c>
      <c r="I1130">
        <v>15000</v>
      </c>
      <c r="J1130">
        <v>9321</v>
      </c>
      <c r="K1130">
        <v>0.989922953453928</v>
      </c>
      <c r="L1130">
        <f t="shared" ca="1" si="110"/>
        <v>269.05364300000002</v>
      </c>
      <c r="M1130">
        <f t="shared" si="111"/>
        <v>277.752837</v>
      </c>
      <c r="N1130">
        <v>9321</v>
      </c>
      <c r="O1130">
        <f t="shared" ca="1" si="107"/>
        <v>0.9686800894854587</v>
      </c>
    </row>
    <row r="1131" spans="1:15" x14ac:dyDescent="0.2">
      <c r="A1131" t="str">
        <f ca="1">IFERROR(__xludf.DUMMYFUNCTION("""COMPUTED_VALUE"""),"km")</f>
        <v>km</v>
      </c>
      <c r="B1131" t="str">
        <f ca="1">IFERROR(__xludf.DUMMYFUNCTION("""COMPUTED_VALUE"""),"Model S 90D")</f>
        <v>Model S 90D</v>
      </c>
      <c r="C1131">
        <f ca="1">IFERROR(__xludf.DUMMYFUNCTION("""COMPUTED_VALUE"""),426)</f>
        <v>426</v>
      </c>
      <c r="D1131">
        <f ca="1">IFERROR(__xludf.DUMMYFUNCTION("""COMPUTED_VALUE"""),39821)</f>
        <v>39821</v>
      </c>
      <c r="E1131">
        <f ca="1">IFERROR(__xludf.DUMMYFUNCTION("""COMPUTED_VALUE"""),433)</f>
        <v>433</v>
      </c>
      <c r="F1131">
        <v>447</v>
      </c>
      <c r="G1131">
        <v>0.96868008948545858</v>
      </c>
      <c r="H1131">
        <v>24744</v>
      </c>
      <c r="I1131">
        <v>39821</v>
      </c>
      <c r="J1131">
        <v>24744</v>
      </c>
      <c r="K1131">
        <v>0.97415108877587675</v>
      </c>
      <c r="L1131">
        <f t="shared" ca="1" si="110"/>
        <v>269.05364300000002</v>
      </c>
      <c r="M1131">
        <f t="shared" si="111"/>
        <v>277.752837</v>
      </c>
      <c r="N1131">
        <v>24744</v>
      </c>
      <c r="O1131">
        <f t="shared" ca="1" si="107"/>
        <v>0.9686800894854587</v>
      </c>
    </row>
    <row r="1132" spans="1:15" x14ac:dyDescent="0.2">
      <c r="A1132" t="str">
        <f ca="1">IFERROR(__xludf.DUMMYFUNCTION("""COMPUTED_VALUE"""),"km")</f>
        <v>km</v>
      </c>
      <c r="B1132" t="str">
        <f ca="1">IFERROR(__xludf.DUMMYFUNCTION("""COMPUTED_VALUE"""),"Model S 90D")</f>
        <v>Model S 90D</v>
      </c>
      <c r="C1132">
        <f ca="1">IFERROR(__xludf.DUMMYFUNCTION("""COMPUTED_VALUE"""),426)</f>
        <v>426</v>
      </c>
      <c r="D1132">
        <f ca="1">IFERROR(__xludf.DUMMYFUNCTION("""COMPUTED_VALUE"""),39193)</f>
        <v>39193</v>
      </c>
      <c r="E1132">
        <f ca="1">IFERROR(__xludf.DUMMYFUNCTION("""COMPUTED_VALUE"""),433)</f>
        <v>433</v>
      </c>
      <c r="F1132">
        <v>447</v>
      </c>
      <c r="G1132">
        <v>0.96868008948545858</v>
      </c>
      <c r="H1132">
        <v>24353</v>
      </c>
      <c r="I1132">
        <v>39193</v>
      </c>
      <c r="J1132">
        <v>24353</v>
      </c>
      <c r="K1132">
        <v>0.97453604818706174</v>
      </c>
      <c r="L1132">
        <f t="shared" ca="1" si="110"/>
        <v>269.05364300000002</v>
      </c>
      <c r="M1132">
        <f t="shared" si="111"/>
        <v>277.752837</v>
      </c>
      <c r="N1132">
        <v>24353</v>
      </c>
      <c r="O1132">
        <f t="shared" ca="1" si="107"/>
        <v>0.9686800894854587</v>
      </c>
    </row>
    <row r="1133" spans="1:15" x14ac:dyDescent="0.2">
      <c r="A1133" t="str">
        <f ca="1">IFERROR(__xludf.DUMMYFUNCTION("""COMPUTED_VALUE"""),"km")</f>
        <v>km</v>
      </c>
      <c r="B1133" t="str">
        <f ca="1">IFERROR(__xludf.DUMMYFUNCTION("""COMPUTED_VALUE"""),"Model S 90D")</f>
        <v>Model S 90D</v>
      </c>
      <c r="C1133">
        <f ca="1">IFERROR(__xludf.DUMMYFUNCTION("""COMPUTED_VALUE"""),426)</f>
        <v>426</v>
      </c>
      <c r="D1133">
        <f ca="1">IFERROR(__xludf.DUMMYFUNCTION("""COMPUTED_VALUE"""),37900)</f>
        <v>37900</v>
      </c>
      <c r="E1133">
        <f ca="1">IFERROR(__xludf.DUMMYFUNCTION("""COMPUTED_VALUE"""),433)</f>
        <v>433</v>
      </c>
      <c r="F1133">
        <v>447</v>
      </c>
      <c r="G1133">
        <v>0.96868008948545858</v>
      </c>
      <c r="H1133">
        <v>23550</v>
      </c>
      <c r="I1133">
        <v>37900</v>
      </c>
      <c r="J1133">
        <v>23550</v>
      </c>
      <c r="K1133">
        <v>0.97533097074093678</v>
      </c>
      <c r="L1133">
        <f t="shared" ca="1" si="110"/>
        <v>269.05364300000002</v>
      </c>
      <c r="M1133">
        <f t="shared" si="111"/>
        <v>277.752837</v>
      </c>
      <c r="N1133">
        <v>23550</v>
      </c>
      <c r="O1133">
        <f t="shared" ca="1" si="107"/>
        <v>0.9686800894854587</v>
      </c>
    </row>
    <row r="1134" spans="1:15" x14ac:dyDescent="0.2">
      <c r="A1134" t="str">
        <f ca="1">IFERROR(__xludf.DUMMYFUNCTION("""COMPUTED_VALUE"""),"km")</f>
        <v>km</v>
      </c>
      <c r="B1134" t="str">
        <f ca="1">IFERROR(__xludf.DUMMYFUNCTION("""COMPUTED_VALUE"""),"Model S 90D")</f>
        <v>Model S 90D</v>
      </c>
      <c r="C1134">
        <f ca="1">IFERROR(__xludf.DUMMYFUNCTION("""COMPUTED_VALUE"""),426)</f>
        <v>426</v>
      </c>
      <c r="D1134">
        <f ca="1">IFERROR(__xludf.DUMMYFUNCTION("""COMPUTED_VALUE"""),31865)</f>
        <v>31865</v>
      </c>
      <c r="E1134">
        <f ca="1">IFERROR(__xludf.DUMMYFUNCTION("""COMPUTED_VALUE"""),433)</f>
        <v>433</v>
      </c>
      <c r="F1134">
        <v>447</v>
      </c>
      <c r="G1134">
        <v>0.96868008948545858</v>
      </c>
      <c r="H1134">
        <v>19800</v>
      </c>
      <c r="I1134">
        <v>31865</v>
      </c>
      <c r="J1134">
        <v>19800</v>
      </c>
      <c r="K1134">
        <v>0.97908246039269153</v>
      </c>
      <c r="L1134">
        <f t="shared" ca="1" si="110"/>
        <v>269.05364300000002</v>
      </c>
      <c r="M1134">
        <f t="shared" si="111"/>
        <v>277.752837</v>
      </c>
      <c r="N1134">
        <v>19800</v>
      </c>
      <c r="O1134">
        <f t="shared" ca="1" si="107"/>
        <v>0.9686800894854587</v>
      </c>
    </row>
    <row r="1135" spans="1:15" x14ac:dyDescent="0.2">
      <c r="A1135" t="str">
        <f ca="1">IFERROR(__xludf.DUMMYFUNCTION("""COMPUTED_VALUE"""),"km")</f>
        <v>km</v>
      </c>
      <c r="B1135" t="str">
        <f ca="1">IFERROR(__xludf.DUMMYFUNCTION("""COMPUTED_VALUE"""),"Model S 90D")</f>
        <v>Model S 90D</v>
      </c>
      <c r="C1135">
        <f ca="1">IFERROR(__xludf.DUMMYFUNCTION("""COMPUTED_VALUE"""),426)</f>
        <v>426</v>
      </c>
      <c r="D1135">
        <f ca="1">IFERROR(__xludf.DUMMYFUNCTION("""COMPUTED_VALUE"""),17326)</f>
        <v>17326</v>
      </c>
      <c r="E1135">
        <f ca="1">IFERROR(__xludf.DUMMYFUNCTION("""COMPUTED_VALUE"""),433)</f>
        <v>433</v>
      </c>
      <c r="F1135">
        <v>447</v>
      </c>
      <c r="G1135">
        <v>0.96868008948545858</v>
      </c>
      <c r="H1135">
        <v>10766</v>
      </c>
      <c r="I1135">
        <v>17326</v>
      </c>
      <c r="J1135">
        <v>10766</v>
      </c>
      <c r="K1135">
        <v>0.98839684282761797</v>
      </c>
      <c r="L1135">
        <f t="shared" ca="1" si="110"/>
        <v>269.05364300000002</v>
      </c>
      <c r="M1135">
        <f t="shared" si="111"/>
        <v>277.752837</v>
      </c>
      <c r="N1135">
        <v>10766</v>
      </c>
      <c r="O1135">
        <f t="shared" ca="1" si="107"/>
        <v>0.9686800894854587</v>
      </c>
    </row>
    <row r="1136" spans="1:15" x14ac:dyDescent="0.2">
      <c r="A1136" t="str">
        <f ca="1">IFERROR(__xludf.DUMMYFUNCTION("""COMPUTED_VALUE"""),"km")</f>
        <v>km</v>
      </c>
      <c r="B1136" t="str">
        <f ca="1">IFERROR(__xludf.DUMMYFUNCTION("""COMPUTED_VALUE"""),"Model S 75D")</f>
        <v>Model S 75D</v>
      </c>
      <c r="C1136">
        <f ca="1">IFERROR(__xludf.DUMMYFUNCTION("""COMPUTED_VALUE"""),384)</f>
        <v>384</v>
      </c>
      <c r="D1136">
        <f ca="1">IFERROR(__xludf.DUMMYFUNCTION("""COMPUTED_VALUE"""),49000)</f>
        <v>49000</v>
      </c>
      <c r="E1136">
        <f ca="1">IFERROR(__xludf.DUMMYFUNCTION("""COMPUTED_VALUE"""),372)</f>
        <v>372</v>
      </c>
      <c r="F1136">
        <v>384</v>
      </c>
      <c r="G1136">
        <v>0.96875</v>
      </c>
      <c r="H1136">
        <v>30447</v>
      </c>
      <c r="I1136">
        <v>49000</v>
      </c>
      <c r="J1136">
        <v>30447</v>
      </c>
      <c r="K1136">
        <v>0.96860897248437827</v>
      </c>
      <c r="L1136">
        <f t="shared" ca="1" si="110"/>
        <v>231.150012</v>
      </c>
      <c r="M1136">
        <f t="shared" si="111"/>
        <v>238.60646400000002</v>
      </c>
      <c r="N1136">
        <v>30447</v>
      </c>
      <c r="O1136">
        <f t="shared" ca="1" si="107"/>
        <v>0.96875</v>
      </c>
    </row>
    <row r="1137" spans="1:15" x14ac:dyDescent="0.2">
      <c r="A1137" t="str">
        <f ca="1">IFERROR(__xludf.DUMMYFUNCTION("""COMPUTED_VALUE"""),"mi")</f>
        <v>mi</v>
      </c>
      <c r="B1137" t="str">
        <f ca="1">IFERROR(__xludf.DUMMYFUNCTION("""COMPUTED_VALUE"""),"Model 3 LR AWD")</f>
        <v>Model 3 LR AWD</v>
      </c>
      <c r="C1137">
        <f ca="1">IFERROR(__xludf.DUMMYFUNCTION("""COMPUTED_VALUE"""),310)</f>
        <v>310</v>
      </c>
      <c r="D1137">
        <f ca="1">IFERROR(__xludf.DUMMYFUNCTION("""COMPUTED_VALUE"""),17371)</f>
        <v>17371</v>
      </c>
      <c r="E1137">
        <f ca="1">IFERROR(__xludf.DUMMYFUNCTION("""COMPUTED_VALUE"""),300.41)</f>
        <v>300.41000000000003</v>
      </c>
      <c r="F1137">
        <v>310</v>
      </c>
      <c r="G1137">
        <v>0.96906451612903233</v>
      </c>
      <c r="H1137">
        <v>17371</v>
      </c>
      <c r="I1137">
        <v>27956</v>
      </c>
      <c r="J1137">
        <v>17371</v>
      </c>
      <c r="K1137">
        <v>0.98154847221054087</v>
      </c>
      <c r="L1137">
        <f ca="1">IFERROR(__xludf.DUMMYFUNCTION("""COMPUTED_VALUE"""),300.41)</f>
        <v>300.41000000000003</v>
      </c>
      <c r="M1137">
        <v>310</v>
      </c>
      <c r="N1137">
        <v>17371</v>
      </c>
      <c r="O1137">
        <f t="shared" ca="1" si="107"/>
        <v>0.96906451612903233</v>
      </c>
    </row>
    <row r="1138" spans="1:15" x14ac:dyDescent="0.2">
      <c r="A1138" t="str">
        <f ca="1">IFERROR(__xludf.DUMMYFUNCTION("""COMPUTED_VALUE"""),"km")</f>
        <v>km</v>
      </c>
      <c r="B1138" t="str">
        <f ca="1">IFERROR(__xludf.DUMMYFUNCTION("""COMPUTED_VALUE"""),"Model S 85D")</f>
        <v>Model S 85D</v>
      </c>
      <c r="C1138">
        <f ca="1">IFERROR(__xludf.DUMMYFUNCTION("""COMPUTED_VALUE"""),402)</f>
        <v>402</v>
      </c>
      <c r="D1138">
        <f ca="1">IFERROR(__xludf.DUMMYFUNCTION("""COMPUTED_VALUE"""),115665)</f>
        <v>115665</v>
      </c>
      <c r="E1138">
        <f ca="1">IFERROR(__xludf.DUMMYFUNCTION("""COMPUTED_VALUE"""),412)</f>
        <v>412</v>
      </c>
      <c r="F1138">
        <v>425</v>
      </c>
      <c r="G1138">
        <v>0.96941176470588231</v>
      </c>
      <c r="H1138">
        <v>71871</v>
      </c>
      <c r="I1138">
        <v>115665</v>
      </c>
      <c r="J1138">
        <v>71871</v>
      </c>
      <c r="K1138">
        <v>0.93324678969271524</v>
      </c>
      <c r="L1138">
        <f t="shared" ref="L1138:L1162" ca="1" si="112">E1138*0.621371</f>
        <v>256.00485200000003</v>
      </c>
      <c r="M1138">
        <f t="shared" ref="M1138:M1162" si="113">F1138*0.621371</f>
        <v>264.08267499999999</v>
      </c>
      <c r="N1138">
        <v>71871</v>
      </c>
      <c r="O1138">
        <f t="shared" ca="1" si="107"/>
        <v>0.96941176470588253</v>
      </c>
    </row>
    <row r="1139" spans="1:15" x14ac:dyDescent="0.2">
      <c r="A1139" t="str">
        <f ca="1">IFERROR(__xludf.DUMMYFUNCTION("""COMPUTED_VALUE"""),"km")</f>
        <v>km</v>
      </c>
      <c r="B1139" t="str">
        <f ca="1">IFERROR(__xludf.DUMMYFUNCTION("""COMPUTED_VALUE"""),"Model S 85D")</f>
        <v>Model S 85D</v>
      </c>
      <c r="D1139">
        <f ca="1">IFERROR(__xludf.DUMMYFUNCTION("""COMPUTED_VALUE"""),78500)</f>
        <v>78500</v>
      </c>
      <c r="E1139">
        <f ca="1">IFERROR(__xludf.DUMMYFUNCTION("""COMPUTED_VALUE"""),412)</f>
        <v>412</v>
      </c>
      <c r="F1139">
        <v>425</v>
      </c>
      <c r="G1139">
        <v>0.96941176470588231</v>
      </c>
      <c r="H1139">
        <v>48778</v>
      </c>
      <c r="I1139">
        <v>78500</v>
      </c>
      <c r="J1139">
        <v>48778</v>
      </c>
      <c r="K1139">
        <v>0.95188513814487963</v>
      </c>
      <c r="L1139">
        <f t="shared" ca="1" si="112"/>
        <v>256.00485200000003</v>
      </c>
      <c r="M1139">
        <f t="shared" si="113"/>
        <v>264.08267499999999</v>
      </c>
      <c r="N1139">
        <v>48778</v>
      </c>
      <c r="O1139">
        <f t="shared" ca="1" si="107"/>
        <v>0.96941176470588253</v>
      </c>
    </row>
    <row r="1140" spans="1:15" x14ac:dyDescent="0.2">
      <c r="A1140" t="str">
        <f ca="1">IFERROR(__xludf.DUMMYFUNCTION("""COMPUTED_VALUE"""),"km")</f>
        <v>km</v>
      </c>
      <c r="B1140" t="str">
        <f ca="1">IFERROR(__xludf.DUMMYFUNCTION("""COMPUTED_VALUE"""),"Model S 85D")</f>
        <v>Model S 85D</v>
      </c>
      <c r="D1140">
        <f ca="1">IFERROR(__xludf.DUMMYFUNCTION("""COMPUTED_VALUE"""),50011)</f>
        <v>50011</v>
      </c>
      <c r="E1140">
        <f ca="1">IFERROR(__xludf.DUMMYFUNCTION("""COMPUTED_VALUE"""),412)</f>
        <v>412</v>
      </c>
      <c r="F1140">
        <v>425</v>
      </c>
      <c r="G1140">
        <v>0.96941176470588231</v>
      </c>
      <c r="H1140">
        <v>31075</v>
      </c>
      <c r="I1140">
        <v>50011</v>
      </c>
      <c r="J1140">
        <v>31075</v>
      </c>
      <c r="K1140">
        <v>0.96800826396106465</v>
      </c>
      <c r="L1140">
        <f t="shared" ca="1" si="112"/>
        <v>256.00485200000003</v>
      </c>
      <c r="M1140">
        <f t="shared" si="113"/>
        <v>264.08267499999999</v>
      </c>
      <c r="N1140">
        <v>31075</v>
      </c>
      <c r="O1140">
        <f t="shared" ca="1" si="107"/>
        <v>0.96941176470588253</v>
      </c>
    </row>
    <row r="1141" spans="1:15" x14ac:dyDescent="0.2">
      <c r="A1141" t="str">
        <f ca="1">IFERROR(__xludf.DUMMYFUNCTION("""COMPUTED_VALUE"""),"km")</f>
        <v>km</v>
      </c>
      <c r="B1141" t="str">
        <f ca="1">IFERROR(__xludf.DUMMYFUNCTION("""COMPUTED_VALUE"""),"Model S 70D")</f>
        <v>Model S 70D</v>
      </c>
      <c r="C1141">
        <f ca="1">IFERROR(__xludf.DUMMYFUNCTION("""COMPUTED_VALUE"""),360)</f>
        <v>360</v>
      </c>
      <c r="D1141">
        <f ca="1">IFERROR(__xludf.DUMMYFUNCTION("""COMPUTED_VALUE"""),91273)</f>
        <v>91273</v>
      </c>
      <c r="E1141">
        <f ca="1">IFERROR(__xludf.DUMMYFUNCTION("""COMPUTED_VALUE"""),349)</f>
        <v>349</v>
      </c>
      <c r="F1141">
        <v>360</v>
      </c>
      <c r="G1141">
        <v>0.96944444444444444</v>
      </c>
      <c r="H1141">
        <v>56714</v>
      </c>
      <c r="I1141">
        <v>91273</v>
      </c>
      <c r="J1141">
        <v>56714</v>
      </c>
      <c r="K1141">
        <v>0.94516886033647229</v>
      </c>
      <c r="L1141">
        <f t="shared" ca="1" si="112"/>
        <v>216.85847899999999</v>
      </c>
      <c r="M1141">
        <f t="shared" si="113"/>
        <v>223.69355999999999</v>
      </c>
      <c r="N1141">
        <v>56714</v>
      </c>
      <c r="O1141">
        <f t="shared" ca="1" si="107"/>
        <v>0.96944444444444444</v>
      </c>
    </row>
    <row r="1142" spans="1:15" x14ac:dyDescent="0.2">
      <c r="A1142" t="str">
        <f ca="1">IFERROR(__xludf.DUMMYFUNCTION("""COMPUTED_VALUE"""),"km")</f>
        <v>km</v>
      </c>
      <c r="B1142" t="str">
        <f ca="1">IFERROR(__xludf.DUMMYFUNCTION("""COMPUTED_VALUE"""),"Model S 70D")</f>
        <v>Model S 70D</v>
      </c>
      <c r="C1142">
        <f ca="1">IFERROR(__xludf.DUMMYFUNCTION("""COMPUTED_VALUE"""),365)</f>
        <v>365</v>
      </c>
      <c r="D1142">
        <f ca="1">IFERROR(__xludf.DUMMYFUNCTION("""COMPUTED_VALUE"""),31273)</f>
        <v>31273</v>
      </c>
      <c r="E1142">
        <f ca="1">IFERROR(__xludf.DUMMYFUNCTION("""COMPUTED_VALUE"""),349)</f>
        <v>349</v>
      </c>
      <c r="F1142">
        <v>360</v>
      </c>
      <c r="G1142">
        <v>0.96944444444444444</v>
      </c>
      <c r="H1142">
        <v>19432</v>
      </c>
      <c r="I1142">
        <v>31273</v>
      </c>
      <c r="J1142">
        <v>19432</v>
      </c>
      <c r="K1142">
        <v>0.97945410785307496</v>
      </c>
      <c r="L1142">
        <f t="shared" ca="1" si="112"/>
        <v>216.85847899999999</v>
      </c>
      <c r="M1142">
        <f t="shared" si="113"/>
        <v>223.69355999999999</v>
      </c>
      <c r="N1142">
        <v>19432</v>
      </c>
      <c r="O1142">
        <f t="shared" ca="1" si="107"/>
        <v>0.96944444444444444</v>
      </c>
    </row>
    <row r="1143" spans="1:15" x14ac:dyDescent="0.2">
      <c r="A1143" t="str">
        <f ca="1">IFERROR(__xludf.DUMMYFUNCTION("""COMPUTED_VALUE"""),"km")</f>
        <v>km</v>
      </c>
      <c r="B1143" t="str">
        <f ca="1">IFERROR(__xludf.DUMMYFUNCTION("""COMPUTED_VALUE"""),"Model S 70D")</f>
        <v>Model S 70D</v>
      </c>
      <c r="D1143">
        <f ca="1">IFERROR(__xludf.DUMMYFUNCTION("""COMPUTED_VALUE"""),19000)</f>
        <v>19000</v>
      </c>
      <c r="E1143">
        <f ca="1">IFERROR(__xludf.DUMMYFUNCTION("""COMPUTED_VALUE"""),349)</f>
        <v>349</v>
      </c>
      <c r="F1143">
        <v>360</v>
      </c>
      <c r="G1143">
        <v>0.96944444444444444</v>
      </c>
      <c r="H1143">
        <v>11806</v>
      </c>
      <c r="I1143">
        <v>19000</v>
      </c>
      <c r="J1143">
        <v>11806</v>
      </c>
      <c r="K1143">
        <v>0.98730462442563383</v>
      </c>
      <c r="L1143">
        <f t="shared" ca="1" si="112"/>
        <v>216.85847899999999</v>
      </c>
      <c r="M1143">
        <f t="shared" si="113"/>
        <v>223.69355999999999</v>
      </c>
      <c r="N1143">
        <v>11806</v>
      </c>
      <c r="O1143">
        <f t="shared" ca="1" si="107"/>
        <v>0.96944444444444444</v>
      </c>
    </row>
    <row r="1144" spans="1:15" x14ac:dyDescent="0.2">
      <c r="A1144" t="str">
        <f ca="1">IFERROR(__xludf.DUMMYFUNCTION("""COMPUTED_VALUE"""),"km")</f>
        <v>km</v>
      </c>
      <c r="B1144" t="str">
        <f ca="1">IFERROR(__xludf.DUMMYFUNCTION("""COMPUTED_VALUE"""),"Model S 85")</f>
        <v>Model S 85</v>
      </c>
      <c r="D1144">
        <f ca="1">IFERROR(__xludf.DUMMYFUNCTION("""COMPUTED_VALUE"""),84877)</f>
        <v>84877</v>
      </c>
      <c r="E1144">
        <f ca="1">IFERROR(__xludf.DUMMYFUNCTION("""COMPUTED_VALUE"""),383)</f>
        <v>383</v>
      </c>
      <c r="F1144">
        <v>395</v>
      </c>
      <c r="G1144">
        <v>0.96962025316455691</v>
      </c>
      <c r="H1144">
        <v>52740</v>
      </c>
      <c r="I1144">
        <v>84877</v>
      </c>
      <c r="J1144">
        <v>52740</v>
      </c>
      <c r="K1144">
        <v>0.94849180727814675</v>
      </c>
      <c r="L1144">
        <f t="shared" ca="1" si="112"/>
        <v>237.98509300000001</v>
      </c>
      <c r="M1144">
        <f t="shared" si="113"/>
        <v>245.44154499999999</v>
      </c>
      <c r="N1144">
        <v>52740</v>
      </c>
      <c r="O1144">
        <f t="shared" ca="1" si="107"/>
        <v>0.96962025316455702</v>
      </c>
    </row>
    <row r="1145" spans="1:15" x14ac:dyDescent="0.2">
      <c r="A1145" t="str">
        <f ca="1">IFERROR(__xludf.DUMMYFUNCTION("""COMPUTED_VALUE"""),"km")</f>
        <v>km</v>
      </c>
      <c r="B1145" t="str">
        <f ca="1">IFERROR(__xludf.DUMMYFUNCTION("""COMPUTED_VALUE"""),"Model S 85")</f>
        <v>Model S 85</v>
      </c>
      <c r="D1145">
        <f ca="1">IFERROR(__xludf.DUMMYFUNCTION("""COMPUTED_VALUE"""),24183)</f>
        <v>24183</v>
      </c>
      <c r="E1145">
        <f ca="1">IFERROR(__xludf.DUMMYFUNCTION("""COMPUTED_VALUE"""),383)</f>
        <v>383</v>
      </c>
      <c r="F1145">
        <v>395</v>
      </c>
      <c r="G1145">
        <v>0.96962025316455691</v>
      </c>
      <c r="H1145">
        <v>15027</v>
      </c>
      <c r="I1145">
        <v>24183</v>
      </c>
      <c r="J1145">
        <v>15027</v>
      </c>
      <c r="K1145">
        <v>0.98395545949310292</v>
      </c>
      <c r="L1145">
        <f t="shared" ca="1" si="112"/>
        <v>237.98509300000001</v>
      </c>
      <c r="M1145">
        <f t="shared" si="113"/>
        <v>245.44154499999999</v>
      </c>
      <c r="N1145">
        <v>15027</v>
      </c>
      <c r="O1145">
        <f t="shared" ca="1" si="107"/>
        <v>0.96962025316455702</v>
      </c>
    </row>
    <row r="1146" spans="1:15" x14ac:dyDescent="0.2">
      <c r="A1146" t="str">
        <f ca="1">IFERROR(__xludf.DUMMYFUNCTION("""COMPUTED_VALUE"""),"km")</f>
        <v>km</v>
      </c>
      <c r="B1146" t="str">
        <f ca="1">IFERROR(__xludf.DUMMYFUNCTION("""COMPUTED_VALUE"""),"Model S 85")</f>
        <v>Model S 85</v>
      </c>
      <c r="D1146">
        <f ca="1">IFERROR(__xludf.DUMMYFUNCTION("""COMPUTED_VALUE"""),73402)</f>
        <v>73402</v>
      </c>
      <c r="E1146">
        <f ca="1">IFERROR(__xludf.DUMMYFUNCTION("""COMPUTED_VALUE"""),383)</f>
        <v>383</v>
      </c>
      <c r="F1146">
        <v>395</v>
      </c>
      <c r="G1146">
        <v>0.96962025316455691</v>
      </c>
      <c r="H1146">
        <v>45610</v>
      </c>
      <c r="I1146">
        <v>73402</v>
      </c>
      <c r="J1146">
        <v>45610</v>
      </c>
      <c r="K1146">
        <v>0.95465513756668607</v>
      </c>
      <c r="L1146">
        <f t="shared" ca="1" si="112"/>
        <v>237.98509300000001</v>
      </c>
      <c r="M1146">
        <f t="shared" si="113"/>
        <v>245.44154499999999</v>
      </c>
      <c r="N1146">
        <v>45610</v>
      </c>
      <c r="O1146">
        <f t="shared" ca="1" si="107"/>
        <v>0.96962025316455702</v>
      </c>
    </row>
    <row r="1147" spans="1:15" x14ac:dyDescent="0.2">
      <c r="A1147" t="str">
        <f ca="1">IFERROR(__xludf.DUMMYFUNCTION("""COMPUTED_VALUE"""),"km")</f>
        <v>km</v>
      </c>
      <c r="B1147" t="str">
        <f ca="1">IFERROR(__xludf.DUMMYFUNCTION("""COMPUTED_VALUE"""),"Model S 85")</f>
        <v>Model S 85</v>
      </c>
      <c r="D1147">
        <f ca="1">IFERROR(__xludf.DUMMYFUNCTION("""COMPUTED_VALUE"""),86532)</f>
        <v>86532</v>
      </c>
      <c r="E1147">
        <f ca="1">IFERROR(__xludf.DUMMYFUNCTION("""COMPUTED_VALUE"""),383)</f>
        <v>383</v>
      </c>
      <c r="F1147">
        <v>395</v>
      </c>
      <c r="G1147">
        <v>0.96962025316455691</v>
      </c>
      <c r="H1147">
        <v>53768</v>
      </c>
      <c r="I1147">
        <v>86532</v>
      </c>
      <c r="J1147">
        <v>53768</v>
      </c>
      <c r="K1147">
        <v>0.94762422214204967</v>
      </c>
      <c r="L1147">
        <f t="shared" ca="1" si="112"/>
        <v>237.98509300000001</v>
      </c>
      <c r="M1147">
        <f t="shared" si="113"/>
        <v>245.44154499999999</v>
      </c>
      <c r="N1147">
        <v>53768</v>
      </c>
      <c r="O1147">
        <f t="shared" ca="1" si="107"/>
        <v>0.96962025316455702</v>
      </c>
    </row>
    <row r="1148" spans="1:15" x14ac:dyDescent="0.2">
      <c r="A1148" t="str">
        <f ca="1">IFERROR(__xludf.DUMMYFUNCTION("""COMPUTED_VALUE"""),"km")</f>
        <v>km</v>
      </c>
      <c r="B1148" t="str">
        <f ca="1">IFERROR(__xludf.DUMMYFUNCTION("""COMPUTED_VALUE"""),"Model S 85")</f>
        <v>Model S 85</v>
      </c>
      <c r="D1148">
        <f ca="1">IFERROR(__xludf.DUMMYFUNCTION("""COMPUTED_VALUE"""),54000)</f>
        <v>54000</v>
      </c>
      <c r="E1148">
        <f ca="1">IFERROR(__xludf.DUMMYFUNCTION("""COMPUTED_VALUE"""),383)</f>
        <v>383</v>
      </c>
      <c r="F1148">
        <v>395</v>
      </c>
      <c r="G1148">
        <v>0.96962025316455691</v>
      </c>
      <c r="H1148">
        <v>33554</v>
      </c>
      <c r="I1148">
        <v>54000</v>
      </c>
      <c r="J1148">
        <v>33554</v>
      </c>
      <c r="K1148">
        <v>0.96565701932832937</v>
      </c>
      <c r="L1148">
        <f t="shared" ca="1" si="112"/>
        <v>237.98509300000001</v>
      </c>
      <c r="M1148">
        <f t="shared" si="113"/>
        <v>245.44154499999999</v>
      </c>
      <c r="N1148">
        <v>33554</v>
      </c>
      <c r="O1148">
        <f t="shared" ca="1" si="107"/>
        <v>0.96962025316455702</v>
      </c>
    </row>
    <row r="1149" spans="1:15" x14ac:dyDescent="0.2">
      <c r="A1149" t="str">
        <f ca="1">IFERROR(__xludf.DUMMYFUNCTION("""COMPUTED_VALUE"""),"km")</f>
        <v>km</v>
      </c>
      <c r="B1149" t="str">
        <f ca="1">IFERROR(__xludf.DUMMYFUNCTION("""COMPUTED_VALUE"""),"Model S 85")</f>
        <v>Model S 85</v>
      </c>
      <c r="D1149">
        <f ca="1">IFERROR(__xludf.DUMMYFUNCTION("""COMPUTED_VALUE"""),43806)</f>
        <v>43806</v>
      </c>
      <c r="E1149">
        <f ca="1">IFERROR(__xludf.DUMMYFUNCTION("""COMPUTED_VALUE"""),383)</f>
        <v>383</v>
      </c>
      <c r="F1149">
        <v>395</v>
      </c>
      <c r="G1149">
        <v>0.96962025316455691</v>
      </c>
      <c r="H1149">
        <v>27220</v>
      </c>
      <c r="I1149">
        <v>43806</v>
      </c>
      <c r="J1149">
        <v>27220</v>
      </c>
      <c r="K1149">
        <v>0.97172554373176634</v>
      </c>
      <c r="L1149">
        <f t="shared" ca="1" si="112"/>
        <v>237.98509300000001</v>
      </c>
      <c r="M1149">
        <f t="shared" si="113"/>
        <v>245.44154499999999</v>
      </c>
      <c r="N1149">
        <v>27220</v>
      </c>
      <c r="O1149">
        <f t="shared" ca="1" si="107"/>
        <v>0.96962025316455702</v>
      </c>
    </row>
    <row r="1150" spans="1:15" x14ac:dyDescent="0.2">
      <c r="A1150" t="str">
        <f ca="1">IFERROR(__xludf.DUMMYFUNCTION("""COMPUTED_VALUE"""),"km")</f>
        <v>km</v>
      </c>
      <c r="B1150" t="str">
        <f ca="1">IFERROR(__xludf.DUMMYFUNCTION("""COMPUTED_VALUE"""),"Model S 85")</f>
        <v>Model S 85</v>
      </c>
      <c r="D1150">
        <f ca="1">IFERROR(__xludf.DUMMYFUNCTION("""COMPUTED_VALUE"""),40005)</f>
        <v>40005</v>
      </c>
      <c r="E1150">
        <f ca="1">IFERROR(__xludf.DUMMYFUNCTION("""COMPUTED_VALUE"""),383)</f>
        <v>383</v>
      </c>
      <c r="F1150">
        <v>395</v>
      </c>
      <c r="G1150">
        <v>0.96962025316455691</v>
      </c>
      <c r="H1150">
        <v>24858</v>
      </c>
      <c r="I1150">
        <v>40005</v>
      </c>
      <c r="J1150">
        <v>24858</v>
      </c>
      <c r="K1150">
        <v>0.97403843796424705</v>
      </c>
      <c r="L1150">
        <f t="shared" ca="1" si="112"/>
        <v>237.98509300000001</v>
      </c>
      <c r="M1150">
        <f t="shared" si="113"/>
        <v>245.44154499999999</v>
      </c>
      <c r="N1150">
        <v>24858</v>
      </c>
      <c r="O1150">
        <f t="shared" ca="1" si="107"/>
        <v>0.96962025316455702</v>
      </c>
    </row>
    <row r="1151" spans="1:15" x14ac:dyDescent="0.2">
      <c r="A1151" t="str">
        <f ca="1">IFERROR(__xludf.DUMMYFUNCTION("""COMPUTED_VALUE"""),"km")</f>
        <v>km</v>
      </c>
      <c r="B1151" t="str">
        <f ca="1">IFERROR(__xludf.DUMMYFUNCTION("""COMPUTED_VALUE"""),"Model S 85")</f>
        <v>Model S 85</v>
      </c>
      <c r="D1151">
        <f ca="1">IFERROR(__xludf.DUMMYFUNCTION("""COMPUTED_VALUE"""),22000)</f>
        <v>22000</v>
      </c>
      <c r="E1151">
        <f ca="1">IFERROR(__xludf.DUMMYFUNCTION("""COMPUTED_VALUE"""),383)</f>
        <v>383</v>
      </c>
      <c r="F1151">
        <v>395</v>
      </c>
      <c r="G1151">
        <v>0.96962025316455691</v>
      </c>
      <c r="H1151">
        <v>13670</v>
      </c>
      <c r="I1151">
        <v>22000</v>
      </c>
      <c r="J1151">
        <v>13670</v>
      </c>
      <c r="K1151">
        <v>0.98536007017028693</v>
      </c>
      <c r="L1151">
        <f t="shared" ca="1" si="112"/>
        <v>237.98509300000001</v>
      </c>
      <c r="M1151">
        <f t="shared" si="113"/>
        <v>245.44154499999999</v>
      </c>
      <c r="N1151">
        <v>13670</v>
      </c>
      <c r="O1151">
        <f t="shared" ca="1" si="107"/>
        <v>0.96962025316455702</v>
      </c>
    </row>
    <row r="1152" spans="1:15" x14ac:dyDescent="0.2">
      <c r="A1152" t="str">
        <f ca="1">IFERROR(__xludf.DUMMYFUNCTION("""COMPUTED_VALUE"""),"km")</f>
        <v>km</v>
      </c>
      <c r="B1152" t="str">
        <f ca="1">IFERROR(__xludf.DUMMYFUNCTION("""COMPUTED_VALUE"""),"Model S 85")</f>
        <v>Model S 85</v>
      </c>
      <c r="C1152">
        <f ca="1">IFERROR(__xludf.DUMMYFUNCTION("""COMPUTED_VALUE"""),409)</f>
        <v>409</v>
      </c>
      <c r="D1152">
        <f ca="1">IFERROR(__xludf.DUMMYFUNCTION("""COMPUTED_VALUE"""),47500)</f>
        <v>47500</v>
      </c>
      <c r="E1152">
        <f ca="1">IFERROR(__xludf.DUMMYFUNCTION("""COMPUTED_VALUE"""),383)</f>
        <v>383</v>
      </c>
      <c r="F1152">
        <v>395</v>
      </c>
      <c r="G1152">
        <v>0.96962025316455691</v>
      </c>
      <c r="H1152">
        <v>29515</v>
      </c>
      <c r="I1152">
        <v>47500</v>
      </c>
      <c r="J1152">
        <v>29515</v>
      </c>
      <c r="K1152">
        <v>0.96950379368516848</v>
      </c>
      <c r="L1152">
        <f t="shared" ca="1" si="112"/>
        <v>237.98509300000001</v>
      </c>
      <c r="M1152">
        <f t="shared" si="113"/>
        <v>245.44154499999999</v>
      </c>
      <c r="N1152">
        <v>29515</v>
      </c>
      <c r="O1152">
        <f t="shared" ca="1" si="107"/>
        <v>0.96962025316455702</v>
      </c>
    </row>
    <row r="1153" spans="1:15" x14ac:dyDescent="0.2">
      <c r="A1153" t="str">
        <f ca="1">IFERROR(__xludf.DUMMYFUNCTION("""COMPUTED_VALUE"""),"km")</f>
        <v>km</v>
      </c>
      <c r="B1153" t="str">
        <f ca="1">IFERROR(__xludf.DUMMYFUNCTION("""COMPUTED_VALUE"""),"Model S 85")</f>
        <v>Model S 85</v>
      </c>
      <c r="D1153">
        <f ca="1">IFERROR(__xludf.DUMMYFUNCTION("""COMPUTED_VALUE"""),80840)</f>
        <v>80840</v>
      </c>
      <c r="E1153">
        <f ca="1">IFERROR(__xludf.DUMMYFUNCTION("""COMPUTED_VALUE"""),383)</f>
        <v>383</v>
      </c>
      <c r="F1153">
        <v>395</v>
      </c>
      <c r="G1153">
        <v>0.96962025316455691</v>
      </c>
      <c r="H1153">
        <v>50232</v>
      </c>
      <c r="I1153">
        <v>80840</v>
      </c>
      <c r="J1153">
        <v>50232</v>
      </c>
      <c r="K1153">
        <v>0.950630705851359</v>
      </c>
      <c r="L1153">
        <f t="shared" ca="1" si="112"/>
        <v>237.98509300000001</v>
      </c>
      <c r="M1153">
        <f t="shared" si="113"/>
        <v>245.44154499999999</v>
      </c>
      <c r="N1153">
        <v>50232</v>
      </c>
      <c r="O1153">
        <f t="shared" ca="1" si="107"/>
        <v>0.96962025316455702</v>
      </c>
    </row>
    <row r="1154" spans="1:15" x14ac:dyDescent="0.2">
      <c r="A1154" t="str">
        <f ca="1">IFERROR(__xludf.DUMMYFUNCTION("""COMPUTED_VALUE"""),"km")</f>
        <v>km</v>
      </c>
      <c r="B1154" t="str">
        <f ca="1">IFERROR(__xludf.DUMMYFUNCTION("""COMPUTED_VALUE"""),"Model S P85")</f>
        <v>Model S P85</v>
      </c>
      <c r="D1154">
        <f ca="1">IFERROR(__xludf.DUMMYFUNCTION("""COMPUTED_VALUE"""),16011)</f>
        <v>16011</v>
      </c>
      <c r="E1154">
        <f ca="1">IFERROR(__xludf.DUMMYFUNCTION("""COMPUTED_VALUE"""),383)</f>
        <v>383</v>
      </c>
      <c r="F1154">
        <v>395</v>
      </c>
      <c r="G1154">
        <v>0.96962025316455691</v>
      </c>
      <c r="H1154">
        <v>9949</v>
      </c>
      <c r="I1154">
        <v>16011</v>
      </c>
      <c r="J1154">
        <v>9949</v>
      </c>
      <c r="K1154">
        <v>0.98925841526304958</v>
      </c>
      <c r="L1154">
        <f t="shared" ca="1" si="112"/>
        <v>237.98509300000001</v>
      </c>
      <c r="M1154">
        <f t="shared" si="113"/>
        <v>245.44154499999999</v>
      </c>
      <c r="N1154">
        <v>9949</v>
      </c>
      <c r="O1154">
        <f t="shared" ref="O1154:O1217" ca="1" si="114">L1154/M1154</f>
        <v>0.96962025316455702</v>
      </c>
    </row>
    <row r="1155" spans="1:15" x14ac:dyDescent="0.2">
      <c r="A1155" t="str">
        <f ca="1">IFERROR(__xludf.DUMMYFUNCTION("""COMPUTED_VALUE"""),"km")</f>
        <v>km</v>
      </c>
      <c r="B1155" t="str">
        <f ca="1">IFERROR(__xludf.DUMMYFUNCTION("""COMPUTED_VALUE"""),"Model S P85")</f>
        <v>Model S P85</v>
      </c>
      <c r="D1155">
        <f ca="1">IFERROR(__xludf.DUMMYFUNCTION("""COMPUTED_VALUE"""),35350)</f>
        <v>35350</v>
      </c>
      <c r="E1155">
        <f ca="1">IFERROR(__xludf.DUMMYFUNCTION("""COMPUTED_VALUE"""),383)</f>
        <v>383</v>
      </c>
      <c r="F1155">
        <v>395</v>
      </c>
      <c r="G1155">
        <v>0.96962025316455691</v>
      </c>
      <c r="H1155">
        <v>21965</v>
      </c>
      <c r="I1155">
        <v>35350</v>
      </c>
      <c r="J1155">
        <v>21965</v>
      </c>
      <c r="K1155">
        <v>0.97690783297990869</v>
      </c>
      <c r="L1155">
        <f t="shared" ca="1" si="112"/>
        <v>237.98509300000001</v>
      </c>
      <c r="M1155">
        <f t="shared" si="113"/>
        <v>245.44154499999999</v>
      </c>
      <c r="N1155">
        <v>21965</v>
      </c>
      <c r="O1155">
        <f t="shared" ca="1" si="114"/>
        <v>0.96962025316455702</v>
      </c>
    </row>
    <row r="1156" spans="1:15" x14ac:dyDescent="0.2">
      <c r="A1156" t="str">
        <f ca="1">IFERROR(__xludf.DUMMYFUNCTION("""COMPUTED_VALUE"""),"km")</f>
        <v>km</v>
      </c>
      <c r="B1156" t="str">
        <f ca="1">IFERROR(__xludf.DUMMYFUNCTION("""COMPUTED_VALUE"""),"Unspecified 85 kWh")</f>
        <v>Unspecified 85 kWh</v>
      </c>
      <c r="D1156">
        <f ca="1">IFERROR(__xludf.DUMMYFUNCTION("""COMPUTED_VALUE"""),46000)</f>
        <v>46000</v>
      </c>
      <c r="E1156">
        <f ca="1">IFERROR(__xludf.DUMMYFUNCTION("""COMPUTED_VALUE"""),383)</f>
        <v>383</v>
      </c>
      <c r="F1156">
        <v>395</v>
      </c>
      <c r="G1156">
        <v>0.96962025316455691</v>
      </c>
      <c r="H1156">
        <v>28583</v>
      </c>
      <c r="I1156">
        <v>46000</v>
      </c>
      <c r="J1156">
        <v>28583</v>
      </c>
      <c r="K1156">
        <v>0.97040286442141643</v>
      </c>
      <c r="L1156">
        <f t="shared" ca="1" si="112"/>
        <v>237.98509300000001</v>
      </c>
      <c r="M1156">
        <f t="shared" si="113"/>
        <v>245.44154499999999</v>
      </c>
      <c r="N1156">
        <v>28583</v>
      </c>
      <c r="O1156">
        <f t="shared" ca="1" si="114"/>
        <v>0.96962025316455702</v>
      </c>
    </row>
    <row r="1157" spans="1:15" x14ac:dyDescent="0.2">
      <c r="A1157" t="str">
        <f ca="1">IFERROR(__xludf.DUMMYFUNCTION("""COMPUTED_VALUE"""),"km")</f>
        <v>km</v>
      </c>
      <c r="B1157" t="str">
        <f ca="1">IFERROR(__xludf.DUMMYFUNCTION("""COMPUTED_VALUE"""),"Model S P85")</f>
        <v>Model S P85</v>
      </c>
      <c r="D1157">
        <f ca="1">IFERROR(__xludf.DUMMYFUNCTION("""COMPUTED_VALUE"""),50000)</f>
        <v>50000</v>
      </c>
      <c r="E1157">
        <f ca="1">IFERROR(__xludf.DUMMYFUNCTION("""COMPUTED_VALUE"""),383)</f>
        <v>383</v>
      </c>
      <c r="F1157">
        <v>395</v>
      </c>
      <c r="G1157">
        <v>0.96962025316455691</v>
      </c>
      <c r="H1157">
        <v>31069</v>
      </c>
      <c r="I1157">
        <v>50000</v>
      </c>
      <c r="J1157">
        <v>31069</v>
      </c>
      <c r="K1157">
        <v>0.96801478944655506</v>
      </c>
      <c r="L1157">
        <f t="shared" ca="1" si="112"/>
        <v>237.98509300000001</v>
      </c>
      <c r="M1157">
        <f t="shared" si="113"/>
        <v>245.44154499999999</v>
      </c>
      <c r="N1157">
        <v>31069</v>
      </c>
      <c r="O1157">
        <f t="shared" ca="1" si="114"/>
        <v>0.96962025316455702</v>
      </c>
    </row>
    <row r="1158" spans="1:15" x14ac:dyDescent="0.2">
      <c r="A1158" t="str">
        <f ca="1">IFERROR(__xludf.DUMMYFUNCTION("""COMPUTED_VALUE"""),"km")</f>
        <v>km</v>
      </c>
      <c r="B1158" t="str">
        <f ca="1">IFERROR(__xludf.DUMMYFUNCTION("""COMPUTED_VALUE"""),"Model S P85")</f>
        <v>Model S P85</v>
      </c>
      <c r="D1158">
        <f ca="1">IFERROR(__xludf.DUMMYFUNCTION("""COMPUTED_VALUE"""),33240)</f>
        <v>33240</v>
      </c>
      <c r="E1158">
        <f ca="1">IFERROR(__xludf.DUMMYFUNCTION("""COMPUTED_VALUE"""),383)</f>
        <v>383</v>
      </c>
      <c r="F1158">
        <v>395</v>
      </c>
      <c r="G1158">
        <v>0.96962025316455691</v>
      </c>
      <c r="H1158">
        <v>20654</v>
      </c>
      <c r="I1158">
        <v>33240</v>
      </c>
      <c r="J1158">
        <v>20654</v>
      </c>
      <c r="K1158">
        <v>0.97822176883809053</v>
      </c>
      <c r="L1158">
        <f t="shared" ca="1" si="112"/>
        <v>237.98509300000001</v>
      </c>
      <c r="M1158">
        <f t="shared" si="113"/>
        <v>245.44154499999999</v>
      </c>
      <c r="N1158">
        <v>20654</v>
      </c>
      <c r="O1158">
        <f t="shared" ca="1" si="114"/>
        <v>0.96962025316455702</v>
      </c>
    </row>
    <row r="1159" spans="1:15" x14ac:dyDescent="0.2">
      <c r="A1159" t="str">
        <f ca="1">IFERROR(__xludf.DUMMYFUNCTION("""COMPUTED_VALUE"""),"km")</f>
        <v>km</v>
      </c>
      <c r="B1159" t="str">
        <f ca="1">IFERROR(__xludf.DUMMYFUNCTION("""COMPUTED_VALUE"""),"Unspecified 85 kWh")</f>
        <v>Unspecified 85 kWh</v>
      </c>
      <c r="D1159">
        <f ca="1">IFERROR(__xludf.DUMMYFUNCTION("""COMPUTED_VALUE"""),22507)</f>
        <v>22507</v>
      </c>
      <c r="E1159">
        <f ca="1">IFERROR(__xludf.DUMMYFUNCTION("""COMPUTED_VALUE"""),383)</f>
        <v>383</v>
      </c>
      <c r="F1159">
        <v>395</v>
      </c>
      <c r="G1159">
        <v>0.96962025316455691</v>
      </c>
      <c r="H1159">
        <v>13985</v>
      </c>
      <c r="I1159">
        <v>22507</v>
      </c>
      <c r="J1159">
        <v>13985</v>
      </c>
      <c r="K1159">
        <v>0.98503307013391472</v>
      </c>
      <c r="L1159">
        <f t="shared" ca="1" si="112"/>
        <v>237.98509300000001</v>
      </c>
      <c r="M1159">
        <f t="shared" si="113"/>
        <v>245.44154499999999</v>
      </c>
      <c r="N1159">
        <v>13985</v>
      </c>
      <c r="O1159">
        <f t="shared" ca="1" si="114"/>
        <v>0.96962025316455702</v>
      </c>
    </row>
    <row r="1160" spans="1:15" x14ac:dyDescent="0.2">
      <c r="A1160" t="str">
        <f ca="1">IFERROR(__xludf.DUMMYFUNCTION("""COMPUTED_VALUE"""),"km")</f>
        <v>km</v>
      </c>
      <c r="B1160" t="str">
        <f ca="1">IFERROR(__xludf.DUMMYFUNCTION("""COMPUTED_VALUE"""),"Unspecified 85 kWh")</f>
        <v>Unspecified 85 kWh</v>
      </c>
      <c r="D1160">
        <f ca="1">IFERROR(__xludf.DUMMYFUNCTION("""COMPUTED_VALUE"""),32000)</f>
        <v>32000</v>
      </c>
      <c r="E1160">
        <f ca="1">IFERROR(__xludf.DUMMYFUNCTION("""COMPUTED_VALUE"""),383)</f>
        <v>383</v>
      </c>
      <c r="F1160">
        <v>395</v>
      </c>
      <c r="G1160">
        <v>0.96962025316455691</v>
      </c>
      <c r="H1160">
        <v>19884</v>
      </c>
      <c r="I1160">
        <v>32000</v>
      </c>
      <c r="J1160">
        <v>19884</v>
      </c>
      <c r="K1160">
        <v>0.97899780074085685</v>
      </c>
      <c r="L1160">
        <f t="shared" ca="1" si="112"/>
        <v>237.98509300000001</v>
      </c>
      <c r="M1160">
        <f t="shared" si="113"/>
        <v>245.44154499999999</v>
      </c>
      <c r="N1160">
        <v>19884</v>
      </c>
      <c r="O1160">
        <f t="shared" ca="1" si="114"/>
        <v>0.96962025316455702</v>
      </c>
    </row>
    <row r="1161" spans="1:15" x14ac:dyDescent="0.2">
      <c r="A1161" t="str">
        <f ca="1">IFERROR(__xludf.DUMMYFUNCTION("""COMPUTED_VALUE"""),"km")</f>
        <v>km</v>
      </c>
      <c r="B1161" t="str">
        <f ca="1">IFERROR(__xludf.DUMMYFUNCTION("""COMPUTED_VALUE"""),"Model S 85")</f>
        <v>Model S 85</v>
      </c>
      <c r="D1161">
        <f ca="1">IFERROR(__xludf.DUMMYFUNCTION("""COMPUTED_VALUE"""),30650)</f>
        <v>30650</v>
      </c>
      <c r="E1161">
        <f ca="1">IFERROR(__xludf.DUMMYFUNCTION("""COMPUTED_VALUE"""),383)</f>
        <v>383</v>
      </c>
      <c r="F1161">
        <v>395</v>
      </c>
      <c r="G1161">
        <v>0.96962025316455691</v>
      </c>
      <c r="H1161">
        <v>19045</v>
      </c>
      <c r="I1161">
        <v>30650</v>
      </c>
      <c r="J1161">
        <v>19045</v>
      </c>
      <c r="K1161">
        <v>0.97984591834000589</v>
      </c>
      <c r="L1161">
        <f t="shared" ca="1" si="112"/>
        <v>237.98509300000001</v>
      </c>
      <c r="M1161">
        <f t="shared" si="113"/>
        <v>245.44154499999999</v>
      </c>
      <c r="N1161">
        <v>19045</v>
      </c>
      <c r="O1161">
        <f t="shared" ca="1" si="114"/>
        <v>0.96962025316455702</v>
      </c>
    </row>
    <row r="1162" spans="1:15" x14ac:dyDescent="0.2">
      <c r="A1162" t="str">
        <f ca="1">IFERROR(__xludf.DUMMYFUNCTION("""COMPUTED_VALUE"""),"km")</f>
        <v>km</v>
      </c>
      <c r="B1162" t="str">
        <f ca="1">IFERROR(__xludf.DUMMYFUNCTION("""COMPUTED_VALUE"""),"Model S P85")</f>
        <v>Model S P85</v>
      </c>
      <c r="D1162">
        <f ca="1">IFERROR(__xludf.DUMMYFUNCTION("""COMPUTED_VALUE"""),16045)</f>
        <v>16045</v>
      </c>
      <c r="E1162">
        <f ca="1">IFERROR(__xludf.DUMMYFUNCTION("""COMPUTED_VALUE"""),383)</f>
        <v>383</v>
      </c>
      <c r="F1162">
        <v>395</v>
      </c>
      <c r="G1162">
        <v>0.96962025316455691</v>
      </c>
      <c r="H1162">
        <v>9970</v>
      </c>
      <c r="I1162">
        <v>16045</v>
      </c>
      <c r="J1162">
        <v>9970</v>
      </c>
      <c r="K1162">
        <v>0.9892360991598208</v>
      </c>
      <c r="L1162">
        <f t="shared" ca="1" si="112"/>
        <v>237.98509300000001</v>
      </c>
      <c r="M1162">
        <f t="shared" si="113"/>
        <v>245.44154499999999</v>
      </c>
      <c r="N1162">
        <v>9970</v>
      </c>
      <c r="O1162">
        <f t="shared" ca="1" si="114"/>
        <v>0.96962025316455702</v>
      </c>
    </row>
    <row r="1163" spans="1:15" x14ac:dyDescent="0.2">
      <c r="A1163" t="str">
        <f ca="1">IFERROR(__xludf.DUMMYFUNCTION("""COMPUTED_VALUE"""),"mi")</f>
        <v>mi</v>
      </c>
      <c r="B1163" t="str">
        <f ca="1">IFERROR(__xludf.DUMMYFUNCTION("""COMPUTED_VALUE"""),"Model S 85D")</f>
        <v>Model S 85D</v>
      </c>
      <c r="D1163">
        <f ca="1">IFERROR(__xludf.DUMMYFUNCTION("""COMPUTED_VALUE"""),34653)</f>
        <v>34653</v>
      </c>
      <c r="E1163">
        <f ca="1">IFERROR(__xludf.DUMMYFUNCTION("""COMPUTED_VALUE"""),256)</f>
        <v>256</v>
      </c>
      <c r="F1163">
        <v>264</v>
      </c>
      <c r="G1163">
        <v>0.96969696969696972</v>
      </c>
      <c r="H1163">
        <v>34653</v>
      </c>
      <c r="I1163">
        <v>55769</v>
      </c>
      <c r="J1163">
        <v>34653</v>
      </c>
      <c r="K1163">
        <v>0.9646239960329196</v>
      </c>
      <c r="L1163">
        <f ca="1">IFERROR(__xludf.DUMMYFUNCTION("""COMPUTED_VALUE"""),256)</f>
        <v>256</v>
      </c>
      <c r="M1163">
        <v>264</v>
      </c>
      <c r="N1163">
        <v>34653</v>
      </c>
      <c r="O1163">
        <f t="shared" ca="1" si="114"/>
        <v>0.96969696969696972</v>
      </c>
    </row>
    <row r="1164" spans="1:15" x14ac:dyDescent="0.2">
      <c r="A1164" t="str">
        <f ca="1">IFERROR(__xludf.DUMMYFUNCTION("""COMPUTED_VALUE"""),"mi")</f>
        <v>mi</v>
      </c>
      <c r="B1164" t="str">
        <f ca="1">IFERROR(__xludf.DUMMYFUNCTION("""COMPUTED_VALUE"""),"Model S P85+")</f>
        <v>Model S P85+</v>
      </c>
      <c r="C1164">
        <f ca="1">IFERROR(__xludf.DUMMYFUNCTION("""COMPUTED_VALUE"""),268)</f>
        <v>268</v>
      </c>
      <c r="D1164">
        <f ca="1">IFERROR(__xludf.DUMMYFUNCTION("""COMPUTED_VALUE"""),38000)</f>
        <v>38000</v>
      </c>
      <c r="E1164">
        <f ca="1">IFERROR(__xludf.DUMMYFUNCTION("""COMPUTED_VALUE"""),258)</f>
        <v>258</v>
      </c>
      <c r="F1164">
        <v>266</v>
      </c>
      <c r="G1164">
        <v>0.96992481203007519</v>
      </c>
      <c r="H1164">
        <v>38000</v>
      </c>
      <c r="I1164">
        <v>61155</v>
      </c>
      <c r="J1164">
        <v>38000</v>
      </c>
      <c r="K1164">
        <v>0.96151557893311157</v>
      </c>
      <c r="L1164">
        <f ca="1">IFERROR(__xludf.DUMMYFUNCTION("""COMPUTED_VALUE"""),258)</f>
        <v>258</v>
      </c>
      <c r="M1164">
        <v>266</v>
      </c>
      <c r="N1164">
        <v>38000</v>
      </c>
      <c r="O1164">
        <f t="shared" ca="1" si="114"/>
        <v>0.96992481203007519</v>
      </c>
    </row>
    <row r="1165" spans="1:15" x14ac:dyDescent="0.2">
      <c r="A1165" t="str">
        <f ca="1">IFERROR(__xludf.DUMMYFUNCTION("""COMPUTED_VALUE"""),"mi")</f>
        <v>mi</v>
      </c>
      <c r="B1165" t="str">
        <f ca="1">IFERROR(__xludf.DUMMYFUNCTION("""COMPUTED_VALUE"""),"Model S P85")</f>
        <v>Model S P85</v>
      </c>
      <c r="D1165">
        <f ca="1">IFERROR(__xludf.DUMMYFUNCTION("""COMPUTED_VALUE"""),27319)</f>
        <v>27319</v>
      </c>
      <c r="E1165">
        <f ca="1">IFERROR(__xludf.DUMMYFUNCTION("""COMPUTED_VALUE"""),258)</f>
        <v>258</v>
      </c>
      <c r="F1165">
        <v>266</v>
      </c>
      <c r="G1165">
        <v>0.96992481203007519</v>
      </c>
      <c r="H1165">
        <v>27319</v>
      </c>
      <c r="I1165">
        <v>43966</v>
      </c>
      <c r="J1165">
        <v>27319</v>
      </c>
      <c r="K1165">
        <v>0.97162877949282356</v>
      </c>
      <c r="L1165">
        <f ca="1">IFERROR(__xludf.DUMMYFUNCTION("""COMPUTED_VALUE"""),258)</f>
        <v>258</v>
      </c>
      <c r="M1165">
        <v>266</v>
      </c>
      <c r="N1165">
        <v>27319</v>
      </c>
      <c r="O1165">
        <f t="shared" ca="1" si="114"/>
        <v>0.96992481203007519</v>
      </c>
    </row>
    <row r="1166" spans="1:15" x14ac:dyDescent="0.2">
      <c r="A1166" t="str">
        <f ca="1">IFERROR(__xludf.DUMMYFUNCTION("""COMPUTED_VALUE"""),"mi")</f>
        <v>mi</v>
      </c>
      <c r="B1166" t="str">
        <f ca="1">IFERROR(__xludf.DUMMYFUNCTION("""COMPUTED_VALUE"""),"Model X 75D")</f>
        <v>Model X 75D</v>
      </c>
      <c r="C1166">
        <f ca="1">IFERROR(__xludf.DUMMYFUNCTION("""COMPUTED_VALUE"""),237)</f>
        <v>237</v>
      </c>
      <c r="D1166">
        <f ca="1">IFERROR(__xludf.DUMMYFUNCTION("""COMPUTED_VALUE"""),2300)</f>
        <v>2300</v>
      </c>
      <c r="E1166">
        <f ca="1">IFERROR(__xludf.DUMMYFUNCTION("""COMPUTED_VALUE"""),227)</f>
        <v>227</v>
      </c>
      <c r="F1166">
        <v>234</v>
      </c>
      <c r="G1166">
        <v>0.97008547008547008</v>
      </c>
      <c r="H1166">
        <v>2300</v>
      </c>
      <c r="I1166">
        <v>3701</v>
      </c>
      <c r="J1166">
        <v>2300</v>
      </c>
      <c r="K1166">
        <v>0.99747597387217657</v>
      </c>
      <c r="L1166">
        <f ca="1">IFERROR(__xludf.DUMMYFUNCTION("""COMPUTED_VALUE"""),227)</f>
        <v>227</v>
      </c>
      <c r="M1166">
        <v>234</v>
      </c>
      <c r="N1166">
        <v>2300</v>
      </c>
      <c r="O1166">
        <f t="shared" ca="1" si="114"/>
        <v>0.97008547008547008</v>
      </c>
    </row>
    <row r="1167" spans="1:15" x14ac:dyDescent="0.2">
      <c r="A1167" t="str">
        <f ca="1">IFERROR(__xludf.DUMMYFUNCTION("""COMPUTED_VALUE"""),"km")</f>
        <v>km</v>
      </c>
      <c r="B1167" t="str">
        <f ca="1">IFERROR(__xludf.DUMMYFUNCTION("""COMPUTED_VALUE"""),"Model S P85D")</f>
        <v>Model S P85D</v>
      </c>
      <c r="C1167">
        <f ca="1">IFERROR(__xludf.DUMMYFUNCTION("""COMPUTED_VALUE"""),406)</f>
        <v>406</v>
      </c>
      <c r="D1167">
        <f ca="1">IFERROR(__xludf.DUMMYFUNCTION("""COMPUTED_VALUE"""),19321)</f>
        <v>19321</v>
      </c>
      <c r="E1167">
        <f ca="1">IFERROR(__xludf.DUMMYFUNCTION("""COMPUTED_VALUE"""),391)</f>
        <v>391</v>
      </c>
      <c r="F1167">
        <v>403</v>
      </c>
      <c r="G1167">
        <v>0.97022332506203479</v>
      </c>
      <c r="H1167">
        <v>12006</v>
      </c>
      <c r="I1167">
        <v>19321</v>
      </c>
      <c r="J1167">
        <v>12006</v>
      </c>
      <c r="K1167">
        <v>0.98709576989310732</v>
      </c>
      <c r="L1167">
        <f ca="1">E1167*0.621371</f>
        <v>242.95606100000001</v>
      </c>
      <c r="M1167">
        <f>F1167*0.621371</f>
        <v>250.41251299999999</v>
      </c>
      <c r="N1167">
        <v>12006</v>
      </c>
      <c r="O1167">
        <f t="shared" ca="1" si="114"/>
        <v>0.97022332506203479</v>
      </c>
    </row>
    <row r="1168" spans="1:15" x14ac:dyDescent="0.2">
      <c r="A1168" t="str">
        <f ca="1">IFERROR(__xludf.DUMMYFUNCTION("""COMPUTED_VALUE"""),"mi")</f>
        <v>mi</v>
      </c>
      <c r="B1168" t="str">
        <f ca="1">IFERROR(__xludf.DUMMYFUNCTION("""COMPUTED_VALUE"""),"Model S 85D")</f>
        <v>Model S 85D</v>
      </c>
      <c r="D1168">
        <f ca="1">IFERROR(__xludf.DUMMYFUNCTION("""COMPUTED_VALUE"""),42500)</f>
        <v>42500</v>
      </c>
      <c r="E1168">
        <f ca="1">IFERROR(__xludf.DUMMYFUNCTION("""COMPUTED_VALUE"""),262)</f>
        <v>262</v>
      </c>
      <c r="F1168">
        <v>270</v>
      </c>
      <c r="G1168">
        <v>0.97037037037037033</v>
      </c>
      <c r="H1168">
        <v>42500</v>
      </c>
      <c r="I1168">
        <v>68397</v>
      </c>
      <c r="J1168">
        <v>42500</v>
      </c>
      <c r="K1168">
        <v>0.95742378345643286</v>
      </c>
      <c r="L1168">
        <f ca="1">IFERROR(__xludf.DUMMYFUNCTION("""COMPUTED_VALUE"""),262)</f>
        <v>262</v>
      </c>
      <c r="M1168">
        <v>270</v>
      </c>
      <c r="N1168">
        <v>42500</v>
      </c>
      <c r="O1168">
        <f t="shared" ca="1" si="114"/>
        <v>0.97037037037037033</v>
      </c>
    </row>
    <row r="1169" spans="1:15" x14ac:dyDescent="0.2">
      <c r="A1169" t="str">
        <f ca="1">IFERROR(__xludf.DUMMYFUNCTION("""COMPUTED_VALUE"""),"mi")</f>
        <v>mi</v>
      </c>
      <c r="B1169" t="str">
        <f ca="1">IFERROR(__xludf.DUMMYFUNCTION("""COMPUTED_VALUE"""),"Model S 85D")</f>
        <v>Model S 85D</v>
      </c>
      <c r="C1169">
        <f ca="1">IFERROR(__xludf.DUMMYFUNCTION("""COMPUTED_VALUE"""),270)</f>
        <v>270</v>
      </c>
      <c r="D1169">
        <f ca="1">IFERROR(__xludf.DUMMYFUNCTION("""COMPUTED_VALUE"""),50081)</f>
        <v>50081</v>
      </c>
      <c r="E1169">
        <f ca="1">IFERROR(__xludf.DUMMYFUNCTION("""COMPUTED_VALUE"""),262)</f>
        <v>262</v>
      </c>
      <c r="F1169">
        <v>270</v>
      </c>
      <c r="G1169">
        <v>0.97037037037037033</v>
      </c>
      <c r="H1169">
        <v>50081</v>
      </c>
      <c r="I1169">
        <v>80598</v>
      </c>
      <c r="J1169">
        <v>50081</v>
      </c>
      <c r="K1169">
        <v>0.95075994027110688</v>
      </c>
      <c r="L1169">
        <f ca="1">IFERROR(__xludf.DUMMYFUNCTION("""COMPUTED_VALUE"""),262)</f>
        <v>262</v>
      </c>
      <c r="M1169">
        <v>270</v>
      </c>
      <c r="N1169">
        <v>50081</v>
      </c>
      <c r="O1169">
        <f t="shared" ca="1" si="114"/>
        <v>0.97037037037037033</v>
      </c>
    </row>
    <row r="1170" spans="1:15" x14ac:dyDescent="0.2">
      <c r="A1170" t="str">
        <f ca="1">IFERROR(__xludf.DUMMYFUNCTION("""COMPUTED_VALUE"""),"mi")</f>
        <v>mi</v>
      </c>
      <c r="B1170" t="str">
        <f ca="1">IFERROR(__xludf.DUMMYFUNCTION("""COMPUTED_VALUE"""),"Model S P90D")</f>
        <v>Model S P90D</v>
      </c>
      <c r="D1170">
        <f ca="1">IFERROR(__xludf.DUMMYFUNCTION("""COMPUTED_VALUE"""),23102)</f>
        <v>23102</v>
      </c>
      <c r="E1170">
        <f ca="1">IFERROR(__xludf.DUMMYFUNCTION("""COMPUTED_VALUE"""),263)</f>
        <v>263</v>
      </c>
      <c r="F1170">
        <v>271</v>
      </c>
      <c r="G1170">
        <v>0.97047970479704793</v>
      </c>
      <c r="H1170">
        <v>23102</v>
      </c>
      <c r="I1170">
        <v>37179</v>
      </c>
      <c r="J1170">
        <v>23102</v>
      </c>
      <c r="K1170">
        <v>0.97577559052118212</v>
      </c>
      <c r="L1170">
        <f ca="1">IFERROR(__xludf.DUMMYFUNCTION("""COMPUTED_VALUE"""),263)</f>
        <v>263</v>
      </c>
      <c r="M1170">
        <v>271</v>
      </c>
      <c r="N1170">
        <v>23102</v>
      </c>
      <c r="O1170">
        <f t="shared" ca="1" si="114"/>
        <v>0.97047970479704793</v>
      </c>
    </row>
    <row r="1171" spans="1:15" x14ac:dyDescent="0.2">
      <c r="A1171" t="str">
        <f ca="1">IFERROR(__xludf.DUMMYFUNCTION("""COMPUTED_VALUE"""),"km")</f>
        <v>km</v>
      </c>
      <c r="B1171" t="str">
        <f ca="1">IFERROR(__xludf.DUMMYFUNCTION("""COMPUTED_VALUE"""),"Model S 75")</f>
        <v>Model S 75</v>
      </c>
      <c r="D1171">
        <f ca="1">IFERROR(__xludf.DUMMYFUNCTION("""COMPUTED_VALUE"""),55200)</f>
        <v>55200</v>
      </c>
      <c r="E1171">
        <f ca="1">IFERROR(__xludf.DUMMYFUNCTION("""COMPUTED_VALUE"""),364)</f>
        <v>364</v>
      </c>
      <c r="F1171">
        <v>375</v>
      </c>
      <c r="G1171">
        <v>0.97066666666666668</v>
      </c>
      <c r="H1171">
        <v>34300</v>
      </c>
      <c r="I1171">
        <v>55200</v>
      </c>
      <c r="J1171">
        <v>34300</v>
      </c>
      <c r="K1171">
        <v>0.96495561834511734</v>
      </c>
      <c r="L1171">
        <f t="shared" ref="L1171:M1175" ca="1" si="115">E1171*0.621371</f>
        <v>226.179044</v>
      </c>
      <c r="M1171">
        <f t="shared" si="115"/>
        <v>233.01412500000001</v>
      </c>
      <c r="N1171">
        <v>34300</v>
      </c>
      <c r="O1171">
        <f t="shared" ca="1" si="114"/>
        <v>0.97066666666666668</v>
      </c>
    </row>
    <row r="1172" spans="1:15" x14ac:dyDescent="0.2">
      <c r="A1172" t="str">
        <f ca="1">IFERROR(__xludf.DUMMYFUNCTION("""COMPUTED_VALUE"""),"km")</f>
        <v>km</v>
      </c>
      <c r="B1172" t="str">
        <f ca="1">IFERROR(__xludf.DUMMYFUNCTION("""COMPUTED_VALUE"""),"Model S P90D")</f>
        <v>Model S P90D</v>
      </c>
      <c r="C1172">
        <f ca="1">IFERROR(__xludf.DUMMYFUNCTION("""COMPUTED_VALUE"""),412)</f>
        <v>412</v>
      </c>
      <c r="D1172">
        <f ca="1">IFERROR(__xludf.DUMMYFUNCTION("""COMPUTED_VALUE"""),19700)</f>
        <v>19700</v>
      </c>
      <c r="E1172">
        <f ca="1">IFERROR(__xludf.DUMMYFUNCTION("""COMPUTED_VALUE"""),400)</f>
        <v>400</v>
      </c>
      <c r="F1172">
        <v>412</v>
      </c>
      <c r="G1172">
        <v>0.970873786407767</v>
      </c>
      <c r="H1172">
        <v>12241</v>
      </c>
      <c r="I1172">
        <v>19700</v>
      </c>
      <c r="J1172">
        <v>12241</v>
      </c>
      <c r="K1172">
        <v>0.98684942105519768</v>
      </c>
      <c r="L1172">
        <f t="shared" ca="1" si="115"/>
        <v>248.54840000000002</v>
      </c>
      <c r="M1172">
        <f t="shared" si="115"/>
        <v>256.00485200000003</v>
      </c>
      <c r="N1172">
        <v>12241</v>
      </c>
      <c r="O1172">
        <f t="shared" ca="1" si="114"/>
        <v>0.97087378640776689</v>
      </c>
    </row>
    <row r="1173" spans="1:15" x14ac:dyDescent="0.2">
      <c r="A1173" t="str">
        <f ca="1">IFERROR(__xludf.DUMMYFUNCTION("""COMPUTED_VALUE"""),"km")</f>
        <v>km</v>
      </c>
      <c r="B1173" t="str">
        <f ca="1">IFERROR(__xludf.DUMMYFUNCTION("""COMPUTED_VALUE"""),"Model S 90D")</f>
        <v>Model S 90D</v>
      </c>
      <c r="C1173">
        <f ca="1">IFERROR(__xludf.DUMMYFUNCTION("""COMPUTED_VALUE"""),448)</f>
        <v>448</v>
      </c>
      <c r="D1173">
        <f ca="1">IFERROR(__xludf.DUMMYFUNCTION("""COMPUTED_VALUE"""),18602)</f>
        <v>18602</v>
      </c>
      <c r="E1173">
        <f ca="1">IFERROR(__xludf.DUMMYFUNCTION("""COMPUTED_VALUE"""),434)</f>
        <v>434</v>
      </c>
      <c r="F1173">
        <v>447</v>
      </c>
      <c r="G1173">
        <v>0.970917225950783</v>
      </c>
      <c r="H1173">
        <v>11559</v>
      </c>
      <c r="I1173">
        <v>18602</v>
      </c>
      <c r="J1173">
        <v>11559</v>
      </c>
      <c r="K1173">
        <v>0.98756383964335093</v>
      </c>
      <c r="L1173">
        <f t="shared" ca="1" si="115"/>
        <v>269.67501399999998</v>
      </c>
      <c r="M1173">
        <f t="shared" si="115"/>
        <v>277.752837</v>
      </c>
      <c r="N1173">
        <v>11559</v>
      </c>
      <c r="O1173">
        <f t="shared" ca="1" si="114"/>
        <v>0.97091722595078289</v>
      </c>
    </row>
    <row r="1174" spans="1:15" x14ac:dyDescent="0.2">
      <c r="A1174" t="str">
        <f ca="1">IFERROR(__xludf.DUMMYFUNCTION("""COMPUTED_VALUE"""),"km")</f>
        <v>km</v>
      </c>
      <c r="B1174" t="str">
        <f ca="1">IFERROR(__xludf.DUMMYFUNCTION("""COMPUTED_VALUE"""),"Model S 90D")</f>
        <v>Model S 90D</v>
      </c>
      <c r="C1174">
        <f ca="1">IFERROR(__xludf.DUMMYFUNCTION("""COMPUTED_VALUE"""),408)</f>
        <v>408</v>
      </c>
      <c r="D1174">
        <f ca="1">IFERROR(__xludf.DUMMYFUNCTION("""COMPUTED_VALUE"""),15058)</f>
        <v>15058</v>
      </c>
      <c r="E1174">
        <f ca="1">IFERROR(__xludf.DUMMYFUNCTION("""COMPUTED_VALUE"""),434)</f>
        <v>434</v>
      </c>
      <c r="F1174">
        <v>447</v>
      </c>
      <c r="G1174">
        <v>0.970917225950783</v>
      </c>
      <c r="H1174">
        <v>9357</v>
      </c>
      <c r="I1174">
        <v>15058</v>
      </c>
      <c r="J1174">
        <v>9357</v>
      </c>
      <c r="K1174">
        <v>0.98988477927427276</v>
      </c>
      <c r="L1174">
        <f t="shared" ca="1" si="115"/>
        <v>269.67501399999998</v>
      </c>
      <c r="M1174">
        <f t="shared" si="115"/>
        <v>277.752837</v>
      </c>
      <c r="N1174">
        <v>9357</v>
      </c>
      <c r="O1174">
        <f t="shared" ca="1" si="114"/>
        <v>0.97091722595078289</v>
      </c>
    </row>
    <row r="1175" spans="1:15" x14ac:dyDescent="0.2">
      <c r="A1175" t="str">
        <f ca="1">IFERROR(__xludf.DUMMYFUNCTION("""COMPUTED_VALUE"""),"km")</f>
        <v>km</v>
      </c>
      <c r="B1175" t="str">
        <f ca="1">IFERROR(__xludf.DUMMYFUNCTION("""COMPUTED_VALUE"""),"Model X 100D")</f>
        <v>Model X 100D</v>
      </c>
      <c r="C1175">
        <f ca="1">IFERROR(__xludf.DUMMYFUNCTION("""COMPUTED_VALUE"""),450)</f>
        <v>450</v>
      </c>
      <c r="D1175">
        <f ca="1">IFERROR(__xludf.DUMMYFUNCTION("""COMPUTED_VALUE"""),20353)</f>
        <v>20353</v>
      </c>
      <c r="E1175">
        <f ca="1">IFERROR(__xludf.DUMMYFUNCTION("""COMPUTED_VALUE"""),435)</f>
        <v>435</v>
      </c>
      <c r="F1175">
        <v>448</v>
      </c>
      <c r="G1175">
        <v>0.9709821428571429</v>
      </c>
      <c r="H1175">
        <v>12647</v>
      </c>
      <c r="I1175">
        <v>20353</v>
      </c>
      <c r="J1175">
        <v>12647</v>
      </c>
      <c r="K1175">
        <v>0.98642558973686345</v>
      </c>
      <c r="L1175">
        <f t="shared" ca="1" si="115"/>
        <v>270.29638499999999</v>
      </c>
      <c r="M1175">
        <f t="shared" si="115"/>
        <v>278.37420800000001</v>
      </c>
      <c r="N1175">
        <v>12647</v>
      </c>
      <c r="O1175">
        <f t="shared" ca="1" si="114"/>
        <v>0.97098214285714279</v>
      </c>
    </row>
    <row r="1176" spans="1:15" x14ac:dyDescent="0.2">
      <c r="A1176" t="str">
        <f ca="1">IFERROR(__xludf.DUMMYFUNCTION("""COMPUTED_VALUE"""),"mi")</f>
        <v>mi</v>
      </c>
      <c r="B1176" t="str">
        <f ca="1">IFERROR(__xludf.DUMMYFUNCTION("""COMPUTED_VALUE"""),"Model S 60")</f>
        <v>Model S 60</v>
      </c>
      <c r="D1176">
        <f ca="1">IFERROR(__xludf.DUMMYFUNCTION("""COMPUTED_VALUE"""),45500)</f>
        <v>45500</v>
      </c>
      <c r="E1176">
        <f ca="1">IFERROR(__xludf.DUMMYFUNCTION("""COMPUTED_VALUE"""),201)</f>
        <v>201</v>
      </c>
      <c r="F1176">
        <v>207</v>
      </c>
      <c r="G1176">
        <v>0.97101449275362317</v>
      </c>
      <c r="H1176">
        <v>45500</v>
      </c>
      <c r="I1176">
        <v>73225</v>
      </c>
      <c r="J1176">
        <v>45500</v>
      </c>
      <c r="K1176">
        <v>0.95475222027038531</v>
      </c>
      <c r="L1176">
        <f ca="1">IFERROR(__xludf.DUMMYFUNCTION("""COMPUTED_VALUE"""),201)</f>
        <v>201</v>
      </c>
      <c r="M1176">
        <v>207</v>
      </c>
      <c r="N1176">
        <v>45500</v>
      </c>
      <c r="O1176">
        <f t="shared" ca="1" si="114"/>
        <v>0.97101449275362317</v>
      </c>
    </row>
    <row r="1177" spans="1:15" x14ac:dyDescent="0.2">
      <c r="A1177" t="str">
        <f ca="1">IFERROR(__xludf.DUMMYFUNCTION("""COMPUTED_VALUE"""),"mi")</f>
        <v>mi</v>
      </c>
      <c r="B1177" t="str">
        <f ca="1">IFERROR(__xludf.DUMMYFUNCTION("""COMPUTED_VALUE"""),"Model S 90D 2015")</f>
        <v>Model S 90D 2015</v>
      </c>
      <c r="D1177">
        <f ca="1">IFERROR(__xludf.DUMMYFUNCTION("""COMPUTED_VALUE"""),8122)</f>
        <v>8122</v>
      </c>
      <c r="E1177">
        <f ca="1">IFERROR(__xludf.DUMMYFUNCTION("""COMPUTED_VALUE"""),269)</f>
        <v>269</v>
      </c>
      <c r="F1177">
        <v>277</v>
      </c>
      <c r="G1177">
        <v>0.97111913357400725</v>
      </c>
      <c r="H1177">
        <v>8122</v>
      </c>
      <c r="I1177">
        <v>13071</v>
      </c>
      <c r="J1177">
        <v>8122</v>
      </c>
      <c r="K1177">
        <v>0.9911960600102534</v>
      </c>
      <c r="L1177">
        <f ca="1">IFERROR(__xludf.DUMMYFUNCTION("""COMPUTED_VALUE"""),269)</f>
        <v>269</v>
      </c>
      <c r="M1177">
        <v>277</v>
      </c>
      <c r="N1177">
        <v>8122</v>
      </c>
      <c r="O1177">
        <f t="shared" ca="1" si="114"/>
        <v>0.97111913357400725</v>
      </c>
    </row>
    <row r="1178" spans="1:15" x14ac:dyDescent="0.2">
      <c r="A1178" t="str">
        <f ca="1">IFERROR(__xludf.DUMMYFUNCTION("""COMPUTED_VALUE"""),"km")</f>
        <v>km</v>
      </c>
      <c r="B1178" t="str">
        <f ca="1">IFERROR(__xludf.DUMMYFUNCTION("""COMPUTED_VALUE"""),"Model 3 SR+")</f>
        <v>Model 3 SR+</v>
      </c>
      <c r="D1178">
        <f ca="1">IFERROR(__xludf.DUMMYFUNCTION("""COMPUTED_VALUE"""),5000)</f>
        <v>5000</v>
      </c>
      <c r="E1178">
        <f ca="1">IFERROR(__xludf.DUMMYFUNCTION("""COMPUTED_VALUE"""),370)</f>
        <v>370</v>
      </c>
      <c r="F1178">
        <v>381</v>
      </c>
      <c r="G1178">
        <v>0.97112860892388453</v>
      </c>
      <c r="H1178">
        <v>3107</v>
      </c>
      <c r="I1178">
        <v>5000</v>
      </c>
      <c r="J1178">
        <v>3107</v>
      </c>
      <c r="K1178">
        <v>0.99659590614136695</v>
      </c>
      <c r="L1178">
        <f t="shared" ref="L1178:M1180" ca="1" si="116">E1178*0.621371</f>
        <v>229.90727000000001</v>
      </c>
      <c r="M1178">
        <f t="shared" si="116"/>
        <v>236.74235100000001</v>
      </c>
      <c r="N1178">
        <v>3107</v>
      </c>
      <c r="O1178">
        <f t="shared" ca="1" si="114"/>
        <v>0.97112860892388453</v>
      </c>
    </row>
    <row r="1179" spans="1:15" x14ac:dyDescent="0.2">
      <c r="A1179" t="str">
        <f ca="1">IFERROR(__xludf.DUMMYFUNCTION("""COMPUTED_VALUE"""),"km")</f>
        <v>km</v>
      </c>
      <c r="B1179" t="str">
        <f ca="1">IFERROR(__xludf.DUMMYFUNCTION("""COMPUTED_VALUE"""),"Model S 75D")</f>
        <v>Model S 75D</v>
      </c>
      <c r="C1179">
        <f ca="1">IFERROR(__xludf.DUMMYFUNCTION("""COMPUTED_VALUE"""),390)</f>
        <v>390</v>
      </c>
      <c r="D1179">
        <f ca="1">IFERROR(__xludf.DUMMYFUNCTION("""COMPUTED_VALUE"""),45000)</f>
        <v>45000</v>
      </c>
      <c r="E1179">
        <f ca="1">IFERROR(__xludf.DUMMYFUNCTION("""COMPUTED_VALUE"""),373)</f>
        <v>373</v>
      </c>
      <c r="F1179">
        <v>384</v>
      </c>
      <c r="G1179">
        <v>0.97135416666666663</v>
      </c>
      <c r="H1179">
        <v>27962</v>
      </c>
      <c r="I1179">
        <v>45000</v>
      </c>
      <c r="J1179">
        <v>27962</v>
      </c>
      <c r="K1179">
        <v>0.97100460219401419</v>
      </c>
      <c r="L1179">
        <f t="shared" ca="1" si="116"/>
        <v>231.77138300000001</v>
      </c>
      <c r="M1179">
        <f t="shared" si="116"/>
        <v>238.60646400000002</v>
      </c>
      <c r="N1179">
        <v>27962</v>
      </c>
      <c r="O1179">
        <f t="shared" ca="1" si="114"/>
        <v>0.97135416666666663</v>
      </c>
    </row>
    <row r="1180" spans="1:15" x14ac:dyDescent="0.2">
      <c r="A1180" t="str">
        <f ca="1">IFERROR(__xludf.DUMMYFUNCTION("""COMPUTED_VALUE"""),"km")</f>
        <v>km</v>
      </c>
      <c r="B1180" t="str">
        <f ca="1">IFERROR(__xludf.DUMMYFUNCTION("""COMPUTED_VALUE"""),"Model S 75D")</f>
        <v>Model S 75D</v>
      </c>
      <c r="D1180">
        <f ca="1">IFERROR(__xludf.DUMMYFUNCTION("""COMPUTED_VALUE"""),30325)</f>
        <v>30325</v>
      </c>
      <c r="E1180">
        <f ca="1">IFERROR(__xludf.DUMMYFUNCTION("""COMPUTED_VALUE"""),373)</f>
        <v>373</v>
      </c>
      <c r="F1180">
        <v>384</v>
      </c>
      <c r="G1180">
        <v>0.97135416666666663</v>
      </c>
      <c r="H1180">
        <v>18843</v>
      </c>
      <c r="I1180">
        <v>30325</v>
      </c>
      <c r="J1180">
        <v>18843</v>
      </c>
      <c r="K1180">
        <v>0.98005059932943039</v>
      </c>
      <c r="L1180">
        <f t="shared" ca="1" si="116"/>
        <v>231.77138300000001</v>
      </c>
      <c r="M1180">
        <f t="shared" si="116"/>
        <v>238.60646400000002</v>
      </c>
      <c r="N1180">
        <v>18843</v>
      </c>
      <c r="O1180">
        <f t="shared" ca="1" si="114"/>
        <v>0.97135416666666663</v>
      </c>
    </row>
    <row r="1181" spans="1:15" x14ac:dyDescent="0.2">
      <c r="A1181" t="str">
        <f ca="1">IFERROR(__xludf.DUMMYFUNCTION("""COMPUTED_VALUE"""),"mi")</f>
        <v>mi</v>
      </c>
      <c r="B1181" t="str">
        <f ca="1">IFERROR(__xludf.DUMMYFUNCTION("""COMPUTED_VALUE"""),"Model S 85")</f>
        <v>Model S 85</v>
      </c>
      <c r="D1181">
        <f ca="1">IFERROR(__xludf.DUMMYFUNCTION("""COMPUTED_VALUE"""),37895)</f>
        <v>37895</v>
      </c>
      <c r="E1181">
        <f ca="1">IFERROR(__xludf.DUMMYFUNCTION("""COMPUTED_VALUE"""),238)</f>
        <v>238</v>
      </c>
      <c r="F1181">
        <v>245</v>
      </c>
      <c r="G1181">
        <v>0.97142857142857142</v>
      </c>
      <c r="H1181">
        <v>37895</v>
      </c>
      <c r="I1181">
        <v>60986</v>
      </c>
      <c r="J1181">
        <v>37895</v>
      </c>
      <c r="K1181">
        <v>0.96161226991039572</v>
      </c>
      <c r="L1181">
        <f ca="1">IFERROR(__xludf.DUMMYFUNCTION("""COMPUTED_VALUE"""),238)</f>
        <v>238</v>
      </c>
      <c r="M1181">
        <v>245</v>
      </c>
      <c r="N1181">
        <v>37895</v>
      </c>
      <c r="O1181">
        <f t="shared" ca="1" si="114"/>
        <v>0.97142857142857142</v>
      </c>
    </row>
    <row r="1182" spans="1:15" x14ac:dyDescent="0.2">
      <c r="A1182" t="str">
        <f ca="1">IFERROR(__xludf.DUMMYFUNCTION("""COMPUTED_VALUE"""),"km")</f>
        <v>km</v>
      </c>
      <c r="B1182" t="str">
        <f ca="1">IFERROR(__xludf.DUMMYFUNCTION("""COMPUTED_VALUE"""),"Model S 85D")</f>
        <v>Model S 85D</v>
      </c>
      <c r="D1182">
        <f ca="1">IFERROR(__xludf.DUMMYFUNCTION("""COMPUTED_VALUE"""),74611)</f>
        <v>74611</v>
      </c>
      <c r="E1182">
        <f ca="1">IFERROR(__xludf.DUMMYFUNCTION("""COMPUTED_VALUE"""),413)</f>
        <v>413</v>
      </c>
      <c r="F1182">
        <v>425</v>
      </c>
      <c r="G1182">
        <v>0.97176470588235297</v>
      </c>
      <c r="H1182">
        <v>46361</v>
      </c>
      <c r="I1182">
        <v>74611</v>
      </c>
      <c r="J1182">
        <v>46361</v>
      </c>
      <c r="K1182">
        <v>0.95399364360606187</v>
      </c>
      <c r="L1182">
        <f t="shared" ref="L1182:L1219" ca="1" si="117">E1182*0.621371</f>
        <v>256.62622299999998</v>
      </c>
      <c r="M1182">
        <f t="shared" ref="M1182:M1219" si="118">F1182*0.621371</f>
        <v>264.08267499999999</v>
      </c>
      <c r="N1182">
        <v>46361</v>
      </c>
      <c r="O1182">
        <f t="shared" ca="1" si="114"/>
        <v>0.97176470588235286</v>
      </c>
    </row>
    <row r="1183" spans="1:15" x14ac:dyDescent="0.2">
      <c r="A1183" t="str">
        <f ca="1">IFERROR(__xludf.DUMMYFUNCTION("""COMPUTED_VALUE"""),"km")</f>
        <v>km</v>
      </c>
      <c r="B1183" t="str">
        <f ca="1">IFERROR(__xludf.DUMMYFUNCTION("""COMPUTED_VALUE"""),"Model S 85D")</f>
        <v>Model S 85D</v>
      </c>
      <c r="D1183">
        <f ca="1">IFERROR(__xludf.DUMMYFUNCTION("""COMPUTED_VALUE"""),61226)</f>
        <v>61226</v>
      </c>
      <c r="E1183">
        <f ca="1">IFERROR(__xludf.DUMMYFUNCTION("""COMPUTED_VALUE"""),413)</f>
        <v>413</v>
      </c>
      <c r="F1183">
        <v>425</v>
      </c>
      <c r="G1183">
        <v>0.97176470588235297</v>
      </c>
      <c r="H1183">
        <v>38044</v>
      </c>
      <c r="I1183">
        <v>61226</v>
      </c>
      <c r="J1183">
        <v>38044</v>
      </c>
      <c r="K1183">
        <v>0.96147497362230805</v>
      </c>
      <c r="L1183">
        <f t="shared" ca="1" si="117"/>
        <v>256.62622299999998</v>
      </c>
      <c r="M1183">
        <f t="shared" si="118"/>
        <v>264.08267499999999</v>
      </c>
      <c r="N1183">
        <v>38044</v>
      </c>
      <c r="O1183">
        <f t="shared" ca="1" si="114"/>
        <v>0.97176470588235286</v>
      </c>
    </row>
    <row r="1184" spans="1:15" x14ac:dyDescent="0.2">
      <c r="A1184" t="str">
        <f ca="1">IFERROR(__xludf.DUMMYFUNCTION("""COMPUTED_VALUE"""),"km")</f>
        <v>km</v>
      </c>
      <c r="B1184" t="str">
        <f ca="1">IFERROR(__xludf.DUMMYFUNCTION("""COMPUTED_VALUE"""),"Model S 85D")</f>
        <v>Model S 85D</v>
      </c>
      <c r="D1184">
        <f ca="1">IFERROR(__xludf.DUMMYFUNCTION("""COMPUTED_VALUE"""),57583)</f>
        <v>57583</v>
      </c>
      <c r="E1184">
        <f ca="1">IFERROR(__xludf.DUMMYFUNCTION("""COMPUTED_VALUE"""),413)</f>
        <v>413</v>
      </c>
      <c r="F1184">
        <v>425</v>
      </c>
      <c r="G1184">
        <v>0.97176470588235297</v>
      </c>
      <c r="H1184">
        <v>35780</v>
      </c>
      <c r="I1184">
        <v>57583</v>
      </c>
      <c r="J1184">
        <v>35780</v>
      </c>
      <c r="K1184">
        <v>0.9635708903907706</v>
      </c>
      <c r="L1184">
        <f t="shared" ca="1" si="117"/>
        <v>256.62622299999998</v>
      </c>
      <c r="M1184">
        <f t="shared" si="118"/>
        <v>264.08267499999999</v>
      </c>
      <c r="N1184">
        <v>35780</v>
      </c>
      <c r="O1184">
        <f t="shared" ca="1" si="114"/>
        <v>0.97176470588235286</v>
      </c>
    </row>
    <row r="1185" spans="1:15" x14ac:dyDescent="0.2">
      <c r="A1185" t="str">
        <f ca="1">IFERROR(__xludf.DUMMYFUNCTION("""COMPUTED_VALUE"""),"km")</f>
        <v>km</v>
      </c>
      <c r="B1185" t="str">
        <f ca="1">IFERROR(__xludf.DUMMYFUNCTION("""COMPUTED_VALUE"""),"Model S 85D")</f>
        <v>Model S 85D</v>
      </c>
      <c r="C1185">
        <f ca="1">IFERROR(__xludf.DUMMYFUNCTION("""COMPUTED_VALUE"""),408)</f>
        <v>408</v>
      </c>
      <c r="D1185">
        <f ca="1">IFERROR(__xludf.DUMMYFUNCTION("""COMPUTED_VALUE"""),15000)</f>
        <v>15000</v>
      </c>
      <c r="E1185">
        <f ca="1">IFERROR(__xludf.DUMMYFUNCTION("""COMPUTED_VALUE"""),413)</f>
        <v>413</v>
      </c>
      <c r="F1185">
        <v>425</v>
      </c>
      <c r="G1185">
        <v>0.97176470588235297</v>
      </c>
      <c r="H1185">
        <v>9321</v>
      </c>
      <c r="I1185">
        <v>15000</v>
      </c>
      <c r="J1185">
        <v>9321</v>
      </c>
      <c r="K1185">
        <v>0.989922953453928</v>
      </c>
      <c r="L1185">
        <f t="shared" ca="1" si="117"/>
        <v>256.62622299999998</v>
      </c>
      <c r="M1185">
        <f t="shared" si="118"/>
        <v>264.08267499999999</v>
      </c>
      <c r="N1185">
        <v>9321</v>
      </c>
      <c r="O1185">
        <f t="shared" ca="1" si="114"/>
        <v>0.97176470588235286</v>
      </c>
    </row>
    <row r="1186" spans="1:15" x14ac:dyDescent="0.2">
      <c r="A1186" t="str">
        <f ca="1">IFERROR(__xludf.DUMMYFUNCTION("""COMPUTED_VALUE"""),"km")</f>
        <v>km</v>
      </c>
      <c r="B1186" t="str">
        <f ca="1">IFERROR(__xludf.DUMMYFUNCTION("""COMPUTED_VALUE"""),"Model S 85D")</f>
        <v>Model S 85D</v>
      </c>
      <c r="C1186">
        <f ca="1">IFERROR(__xludf.DUMMYFUNCTION("""COMPUTED_VALUE"""),409)</f>
        <v>409</v>
      </c>
      <c r="D1186">
        <f ca="1">IFERROR(__xludf.DUMMYFUNCTION("""COMPUTED_VALUE"""),36800)</f>
        <v>36800</v>
      </c>
      <c r="E1186">
        <f ca="1">IFERROR(__xludf.DUMMYFUNCTION("""COMPUTED_VALUE"""),413)</f>
        <v>413</v>
      </c>
      <c r="F1186">
        <v>425</v>
      </c>
      <c r="G1186">
        <v>0.97176470588235297</v>
      </c>
      <c r="H1186">
        <v>22866</v>
      </c>
      <c r="I1186">
        <v>36800</v>
      </c>
      <c r="J1186">
        <v>22866</v>
      </c>
      <c r="K1186">
        <v>0.97600969798435511</v>
      </c>
      <c r="L1186">
        <f t="shared" ca="1" si="117"/>
        <v>256.62622299999998</v>
      </c>
      <c r="M1186">
        <f t="shared" si="118"/>
        <v>264.08267499999999</v>
      </c>
      <c r="N1186">
        <v>22866</v>
      </c>
      <c r="O1186">
        <f t="shared" ca="1" si="114"/>
        <v>0.97176470588235286</v>
      </c>
    </row>
    <row r="1187" spans="1:15" x14ac:dyDescent="0.2">
      <c r="A1187" t="str">
        <f ca="1">IFERROR(__xludf.DUMMYFUNCTION("""COMPUTED_VALUE"""),"km")</f>
        <v>km</v>
      </c>
      <c r="B1187" t="str">
        <f ca="1">IFERROR(__xludf.DUMMYFUNCTION("""COMPUTED_VALUE"""),"Model S 60")</f>
        <v>Model S 60</v>
      </c>
      <c r="C1187">
        <f ca="1">IFERROR(__xludf.DUMMYFUNCTION("""COMPUTED_VALUE"""),286)</f>
        <v>286</v>
      </c>
      <c r="D1187">
        <f ca="1">IFERROR(__xludf.DUMMYFUNCTION("""COMPUTED_VALUE"""),35900)</f>
        <v>35900</v>
      </c>
      <c r="E1187">
        <f ca="1">IFERROR(__xludf.DUMMYFUNCTION("""COMPUTED_VALUE"""),276)</f>
        <v>276</v>
      </c>
      <c r="F1187">
        <v>284</v>
      </c>
      <c r="G1187">
        <v>0.971830985915493</v>
      </c>
      <c r="H1187">
        <v>22307</v>
      </c>
      <c r="I1187">
        <v>35900</v>
      </c>
      <c r="J1187">
        <v>22307</v>
      </c>
      <c r="K1187">
        <v>0.97656669969098675</v>
      </c>
      <c r="L1187">
        <f t="shared" ca="1" si="117"/>
        <v>171.49839600000001</v>
      </c>
      <c r="M1187">
        <f t="shared" si="118"/>
        <v>176.46936400000001</v>
      </c>
      <c r="N1187">
        <v>22307</v>
      </c>
      <c r="O1187">
        <f t="shared" ca="1" si="114"/>
        <v>0.971830985915493</v>
      </c>
    </row>
    <row r="1188" spans="1:15" x14ac:dyDescent="0.2">
      <c r="A1188" t="str">
        <f ca="1">IFERROR(__xludf.DUMMYFUNCTION("""COMPUTED_VALUE"""),"km")</f>
        <v>km</v>
      </c>
      <c r="B1188" t="str">
        <f ca="1">IFERROR(__xludf.DUMMYFUNCTION("""COMPUTED_VALUE"""),"Model 3 LR AWD")</f>
        <v>Model 3 LR AWD</v>
      </c>
      <c r="C1188">
        <f ca="1">IFERROR(__xludf.DUMMYFUNCTION("""COMPUTED_VALUE"""),485)</f>
        <v>485</v>
      </c>
      <c r="D1188">
        <f ca="1">IFERROR(__xludf.DUMMYFUNCTION("""COMPUTED_VALUE"""),4800)</f>
        <v>4800</v>
      </c>
      <c r="E1188">
        <f ca="1">IFERROR(__xludf.DUMMYFUNCTION("""COMPUTED_VALUE"""),485)</f>
        <v>485</v>
      </c>
      <c r="F1188">
        <v>499</v>
      </c>
      <c r="G1188">
        <v>0.97194388777555107</v>
      </c>
      <c r="H1188">
        <v>2983</v>
      </c>
      <c r="I1188">
        <v>4800</v>
      </c>
      <c r="J1188">
        <v>2983</v>
      </c>
      <c r="K1188">
        <v>0.99673120773070023</v>
      </c>
      <c r="L1188">
        <f t="shared" ca="1" si="117"/>
        <v>301.364935</v>
      </c>
      <c r="M1188">
        <f t="shared" si="118"/>
        <v>310.06412899999998</v>
      </c>
      <c r="N1188">
        <v>2983</v>
      </c>
      <c r="O1188">
        <f t="shared" ca="1" si="114"/>
        <v>0.97194388777555119</v>
      </c>
    </row>
    <row r="1189" spans="1:15" x14ac:dyDescent="0.2">
      <c r="A1189" t="str">
        <f ca="1">IFERROR(__xludf.DUMMYFUNCTION("""COMPUTED_VALUE"""),"km")</f>
        <v>km</v>
      </c>
      <c r="B1189" t="str">
        <f ca="1">IFERROR(__xludf.DUMMYFUNCTION("""COMPUTED_VALUE"""),"Model S 85")</f>
        <v>Model S 85</v>
      </c>
      <c r="C1189">
        <f ca="1">IFERROR(__xludf.DUMMYFUNCTION("""COMPUTED_VALUE"""),500)</f>
        <v>500</v>
      </c>
      <c r="D1189">
        <f ca="1">IFERROR(__xludf.DUMMYFUNCTION("""COMPUTED_VALUE"""),98000)</f>
        <v>98000</v>
      </c>
      <c r="E1189">
        <f ca="1">IFERROR(__xludf.DUMMYFUNCTION("""COMPUTED_VALUE"""),384)</f>
        <v>384</v>
      </c>
      <c r="F1189">
        <v>395</v>
      </c>
      <c r="G1189">
        <v>0.97215189873417718</v>
      </c>
      <c r="H1189">
        <v>60894</v>
      </c>
      <c r="I1189">
        <v>98000</v>
      </c>
      <c r="J1189">
        <v>60894</v>
      </c>
      <c r="K1189">
        <v>0.94176157121469062</v>
      </c>
      <c r="L1189">
        <f t="shared" ca="1" si="117"/>
        <v>238.60646400000002</v>
      </c>
      <c r="M1189">
        <f t="shared" si="118"/>
        <v>245.44154499999999</v>
      </c>
      <c r="N1189">
        <v>60894</v>
      </c>
      <c r="O1189">
        <f t="shared" ca="1" si="114"/>
        <v>0.97215189873417729</v>
      </c>
    </row>
    <row r="1190" spans="1:15" x14ac:dyDescent="0.2">
      <c r="A1190" t="str">
        <f ca="1">IFERROR(__xludf.DUMMYFUNCTION("""COMPUTED_VALUE"""),"km")</f>
        <v>km</v>
      </c>
      <c r="B1190" t="str">
        <f ca="1">IFERROR(__xludf.DUMMYFUNCTION("""COMPUTED_VALUE"""),"Model S 85")</f>
        <v>Model S 85</v>
      </c>
      <c r="D1190">
        <f ca="1">IFERROR(__xludf.DUMMYFUNCTION("""COMPUTED_VALUE"""),39951)</f>
        <v>39951</v>
      </c>
      <c r="E1190">
        <f ca="1">IFERROR(__xludf.DUMMYFUNCTION("""COMPUTED_VALUE"""),384)</f>
        <v>384</v>
      </c>
      <c r="F1190">
        <v>395</v>
      </c>
      <c r="G1190">
        <v>0.97215189873417718</v>
      </c>
      <c r="H1190">
        <v>24824</v>
      </c>
      <c r="I1190">
        <v>39951</v>
      </c>
      <c r="J1190">
        <v>24824</v>
      </c>
      <c r="K1190">
        <v>0.97407149195601928</v>
      </c>
      <c r="L1190">
        <f t="shared" ca="1" si="117"/>
        <v>238.60646400000002</v>
      </c>
      <c r="M1190">
        <f t="shared" si="118"/>
        <v>245.44154499999999</v>
      </c>
      <c r="N1190">
        <v>24824</v>
      </c>
      <c r="O1190">
        <f t="shared" ca="1" si="114"/>
        <v>0.97215189873417729</v>
      </c>
    </row>
    <row r="1191" spans="1:15" x14ac:dyDescent="0.2">
      <c r="A1191" t="str">
        <f ca="1">IFERROR(__xludf.DUMMYFUNCTION("""COMPUTED_VALUE"""),"km")</f>
        <v>km</v>
      </c>
      <c r="B1191" t="str">
        <f ca="1">IFERROR(__xludf.DUMMYFUNCTION("""COMPUTED_VALUE"""),"Model S 85")</f>
        <v>Model S 85</v>
      </c>
      <c r="D1191">
        <f ca="1">IFERROR(__xludf.DUMMYFUNCTION("""COMPUTED_VALUE"""),34485)</f>
        <v>34485</v>
      </c>
      <c r="E1191">
        <f ca="1">IFERROR(__xludf.DUMMYFUNCTION("""COMPUTED_VALUE"""),384)</f>
        <v>384</v>
      </c>
      <c r="F1191">
        <v>395</v>
      </c>
      <c r="G1191">
        <v>0.97215189873417718</v>
      </c>
      <c r="H1191">
        <v>21428</v>
      </c>
      <c r="I1191">
        <v>34485</v>
      </c>
      <c r="J1191">
        <v>21428</v>
      </c>
      <c r="K1191">
        <v>0.97744548248630925</v>
      </c>
      <c r="L1191">
        <f t="shared" ca="1" si="117"/>
        <v>238.60646400000002</v>
      </c>
      <c r="M1191">
        <f t="shared" si="118"/>
        <v>245.44154499999999</v>
      </c>
      <c r="N1191">
        <v>21428</v>
      </c>
      <c r="O1191">
        <f t="shared" ca="1" si="114"/>
        <v>0.97215189873417729</v>
      </c>
    </row>
    <row r="1192" spans="1:15" x14ac:dyDescent="0.2">
      <c r="A1192" t="str">
        <f ca="1">IFERROR(__xludf.DUMMYFUNCTION("""COMPUTED_VALUE"""),"km")</f>
        <v>km</v>
      </c>
      <c r="B1192" t="str">
        <f ca="1">IFERROR(__xludf.DUMMYFUNCTION("""COMPUTED_VALUE"""),"Model S 85")</f>
        <v>Model S 85</v>
      </c>
      <c r="D1192">
        <f ca="1">IFERROR(__xludf.DUMMYFUNCTION("""COMPUTED_VALUE"""),60825)</f>
        <v>60825</v>
      </c>
      <c r="E1192">
        <f ca="1">IFERROR(__xludf.DUMMYFUNCTION("""COMPUTED_VALUE"""),384)</f>
        <v>384</v>
      </c>
      <c r="F1192">
        <v>395</v>
      </c>
      <c r="G1192">
        <v>0.97215189873417718</v>
      </c>
      <c r="H1192">
        <v>37795</v>
      </c>
      <c r="I1192">
        <v>60825</v>
      </c>
      <c r="J1192">
        <v>37795</v>
      </c>
      <c r="K1192">
        <v>0.96170443474710032</v>
      </c>
      <c r="L1192">
        <f t="shared" ca="1" si="117"/>
        <v>238.60646400000002</v>
      </c>
      <c r="M1192">
        <f t="shared" si="118"/>
        <v>245.44154499999999</v>
      </c>
      <c r="N1192">
        <v>37795</v>
      </c>
      <c r="O1192">
        <f t="shared" ca="1" si="114"/>
        <v>0.97215189873417729</v>
      </c>
    </row>
    <row r="1193" spans="1:15" x14ac:dyDescent="0.2">
      <c r="A1193" t="str">
        <f ca="1">IFERROR(__xludf.DUMMYFUNCTION("""COMPUTED_VALUE"""),"km")</f>
        <v>km</v>
      </c>
      <c r="B1193" t="str">
        <f ca="1">IFERROR(__xludf.DUMMYFUNCTION("""COMPUTED_VALUE"""),"Model S P85")</f>
        <v>Model S P85</v>
      </c>
      <c r="D1193">
        <f ca="1">IFERROR(__xludf.DUMMYFUNCTION("""COMPUTED_VALUE"""),115834)</f>
        <v>115834</v>
      </c>
      <c r="E1193">
        <f ca="1">IFERROR(__xludf.DUMMYFUNCTION("""COMPUTED_VALUE"""),384)</f>
        <v>384</v>
      </c>
      <c r="F1193">
        <v>395</v>
      </c>
      <c r="G1193">
        <v>0.97215189873417718</v>
      </c>
      <c r="H1193">
        <v>71976</v>
      </c>
      <c r="I1193">
        <v>115834</v>
      </c>
      <c r="J1193">
        <v>71976</v>
      </c>
      <c r="K1193">
        <v>0.93316838423300585</v>
      </c>
      <c r="L1193">
        <f t="shared" ca="1" si="117"/>
        <v>238.60646400000002</v>
      </c>
      <c r="M1193">
        <f t="shared" si="118"/>
        <v>245.44154499999999</v>
      </c>
      <c r="N1193">
        <v>71976</v>
      </c>
      <c r="O1193">
        <f t="shared" ca="1" si="114"/>
        <v>0.97215189873417729</v>
      </c>
    </row>
    <row r="1194" spans="1:15" x14ac:dyDescent="0.2">
      <c r="A1194" t="str">
        <f ca="1">IFERROR(__xludf.DUMMYFUNCTION("""COMPUTED_VALUE"""),"km")</f>
        <v>km</v>
      </c>
      <c r="B1194" t="str">
        <f ca="1">IFERROR(__xludf.DUMMYFUNCTION("""COMPUTED_VALUE"""),"Model S 85")</f>
        <v>Model S 85</v>
      </c>
      <c r="D1194">
        <f ca="1">IFERROR(__xludf.DUMMYFUNCTION("""COMPUTED_VALUE"""),68439)</f>
        <v>68439</v>
      </c>
      <c r="E1194">
        <f ca="1">IFERROR(__xludf.DUMMYFUNCTION("""COMPUTED_VALUE"""),384)</f>
        <v>384</v>
      </c>
      <c r="F1194">
        <v>395</v>
      </c>
      <c r="G1194">
        <v>0.97215189873417718</v>
      </c>
      <c r="H1194">
        <v>42526</v>
      </c>
      <c r="I1194">
        <v>68439</v>
      </c>
      <c r="J1194">
        <v>42526</v>
      </c>
      <c r="K1194">
        <v>0.95740034810873154</v>
      </c>
      <c r="L1194">
        <f t="shared" ca="1" si="117"/>
        <v>238.60646400000002</v>
      </c>
      <c r="M1194">
        <f t="shared" si="118"/>
        <v>245.44154499999999</v>
      </c>
      <c r="N1194">
        <v>42526</v>
      </c>
      <c r="O1194">
        <f t="shared" ca="1" si="114"/>
        <v>0.97215189873417729</v>
      </c>
    </row>
    <row r="1195" spans="1:15" x14ac:dyDescent="0.2">
      <c r="A1195" t="str">
        <f ca="1">IFERROR(__xludf.DUMMYFUNCTION("""COMPUTED_VALUE"""),"km")</f>
        <v>km</v>
      </c>
      <c r="B1195" t="str">
        <f ca="1">IFERROR(__xludf.DUMMYFUNCTION("""COMPUTED_VALUE"""),"Model S 85")</f>
        <v>Model S 85</v>
      </c>
      <c r="C1195">
        <f ca="1">IFERROR(__xludf.DUMMYFUNCTION("""COMPUTED_VALUE"""),392)</f>
        <v>392</v>
      </c>
      <c r="D1195">
        <f ca="1">IFERROR(__xludf.DUMMYFUNCTION("""COMPUTED_VALUE"""),54765)</f>
        <v>54765</v>
      </c>
      <c r="E1195">
        <f ca="1">IFERROR(__xludf.DUMMYFUNCTION("""COMPUTED_VALUE"""),384)</f>
        <v>384</v>
      </c>
      <c r="F1195">
        <v>395</v>
      </c>
      <c r="G1195">
        <v>0.97215189873417718</v>
      </c>
      <c r="H1195">
        <v>34029</v>
      </c>
      <c r="I1195">
        <v>54765</v>
      </c>
      <c r="J1195">
        <v>34029</v>
      </c>
      <c r="K1195">
        <v>0.96520955938528052</v>
      </c>
      <c r="L1195">
        <f t="shared" ca="1" si="117"/>
        <v>238.60646400000002</v>
      </c>
      <c r="M1195">
        <f t="shared" si="118"/>
        <v>245.44154499999999</v>
      </c>
      <c r="N1195">
        <v>34029</v>
      </c>
      <c r="O1195">
        <f t="shared" ca="1" si="114"/>
        <v>0.97215189873417729</v>
      </c>
    </row>
    <row r="1196" spans="1:15" x14ac:dyDescent="0.2">
      <c r="A1196" t="str">
        <f ca="1">IFERROR(__xludf.DUMMYFUNCTION("""COMPUTED_VALUE"""),"km")</f>
        <v>km</v>
      </c>
      <c r="B1196" t="str">
        <f ca="1">IFERROR(__xludf.DUMMYFUNCTION("""COMPUTED_VALUE"""),"Model S P85")</f>
        <v>Model S P85</v>
      </c>
      <c r="D1196">
        <f ca="1">IFERROR(__xludf.DUMMYFUNCTION("""COMPUTED_VALUE"""),54700)</f>
        <v>54700</v>
      </c>
      <c r="E1196">
        <f ca="1">IFERROR(__xludf.DUMMYFUNCTION("""COMPUTED_VALUE"""),384)</f>
        <v>384</v>
      </c>
      <c r="F1196">
        <v>395</v>
      </c>
      <c r="G1196">
        <v>0.97215189873417718</v>
      </c>
      <c r="H1196">
        <v>33989</v>
      </c>
      <c r="I1196">
        <v>54700</v>
      </c>
      <c r="J1196">
        <v>33989</v>
      </c>
      <c r="K1196">
        <v>0.96524753554778642</v>
      </c>
      <c r="L1196">
        <f t="shared" ca="1" si="117"/>
        <v>238.60646400000002</v>
      </c>
      <c r="M1196">
        <f t="shared" si="118"/>
        <v>245.44154499999999</v>
      </c>
      <c r="N1196">
        <v>33989</v>
      </c>
      <c r="O1196">
        <f t="shared" ca="1" si="114"/>
        <v>0.97215189873417729</v>
      </c>
    </row>
    <row r="1197" spans="1:15" x14ac:dyDescent="0.2">
      <c r="A1197" t="str">
        <f ca="1">IFERROR(__xludf.DUMMYFUNCTION("""COMPUTED_VALUE"""),"km")</f>
        <v>km</v>
      </c>
      <c r="B1197" t="str">
        <f ca="1">IFERROR(__xludf.DUMMYFUNCTION("""COMPUTED_VALUE"""),"Model S P85")</f>
        <v>Model S P85</v>
      </c>
      <c r="C1197">
        <f ca="1">IFERROR(__xludf.DUMMYFUNCTION("""COMPUTED_VALUE"""),392)</f>
        <v>392</v>
      </c>
      <c r="D1197">
        <f ca="1">IFERROR(__xludf.DUMMYFUNCTION("""COMPUTED_VALUE"""),70000)</f>
        <v>70000</v>
      </c>
      <c r="E1197">
        <f ca="1">IFERROR(__xludf.DUMMYFUNCTION("""COMPUTED_VALUE"""),384)</f>
        <v>384</v>
      </c>
      <c r="F1197">
        <v>395</v>
      </c>
      <c r="G1197">
        <v>0.97215189873417718</v>
      </c>
      <c r="H1197">
        <v>43496</v>
      </c>
      <c r="I1197">
        <v>70000</v>
      </c>
      <c r="J1197">
        <v>43496</v>
      </c>
      <c r="K1197">
        <v>0.95653175560072434</v>
      </c>
      <c r="L1197">
        <f t="shared" ca="1" si="117"/>
        <v>238.60646400000002</v>
      </c>
      <c r="M1197">
        <f t="shared" si="118"/>
        <v>245.44154499999999</v>
      </c>
      <c r="N1197">
        <v>43496</v>
      </c>
      <c r="O1197">
        <f t="shared" ca="1" si="114"/>
        <v>0.97215189873417729</v>
      </c>
    </row>
    <row r="1198" spans="1:15" x14ac:dyDescent="0.2">
      <c r="A1198" t="str">
        <f ca="1">IFERROR(__xludf.DUMMYFUNCTION("""COMPUTED_VALUE"""),"km")</f>
        <v>km</v>
      </c>
      <c r="B1198" t="str">
        <f ca="1">IFERROR(__xludf.DUMMYFUNCTION("""COMPUTED_VALUE"""),"Model S 85")</f>
        <v>Model S 85</v>
      </c>
      <c r="C1198">
        <f ca="1">IFERROR(__xludf.DUMMYFUNCTION("""COMPUTED_VALUE"""),395)</f>
        <v>395</v>
      </c>
      <c r="D1198">
        <f ca="1">IFERROR(__xludf.DUMMYFUNCTION("""COMPUTED_VALUE"""),48000)</f>
        <v>48000</v>
      </c>
      <c r="E1198">
        <f ca="1">IFERROR(__xludf.DUMMYFUNCTION("""COMPUTED_VALUE"""),384)</f>
        <v>384</v>
      </c>
      <c r="F1198">
        <v>395</v>
      </c>
      <c r="G1198">
        <v>0.97215189873417718</v>
      </c>
      <c r="H1198">
        <v>29826</v>
      </c>
      <c r="I1198">
        <v>48000</v>
      </c>
      <c r="J1198">
        <v>29826</v>
      </c>
      <c r="K1198">
        <v>0.96920504742353453</v>
      </c>
      <c r="L1198">
        <f t="shared" ca="1" si="117"/>
        <v>238.60646400000002</v>
      </c>
      <c r="M1198">
        <f t="shared" si="118"/>
        <v>245.44154499999999</v>
      </c>
      <c r="N1198">
        <v>29826</v>
      </c>
      <c r="O1198">
        <f t="shared" ca="1" si="114"/>
        <v>0.97215189873417729</v>
      </c>
    </row>
    <row r="1199" spans="1:15" x14ac:dyDescent="0.2">
      <c r="A1199" t="str">
        <f ca="1">IFERROR(__xludf.DUMMYFUNCTION("""COMPUTED_VALUE"""),"km")</f>
        <v>km</v>
      </c>
      <c r="B1199" t="str">
        <f ca="1">IFERROR(__xludf.DUMMYFUNCTION("""COMPUTED_VALUE"""),"Model S 85")</f>
        <v>Model S 85</v>
      </c>
      <c r="C1199">
        <f ca="1">IFERROR(__xludf.DUMMYFUNCTION("""COMPUTED_VALUE"""),398)</f>
        <v>398</v>
      </c>
      <c r="D1199">
        <f ca="1">IFERROR(__xludf.DUMMYFUNCTION("""COMPUTED_VALUE"""),40000)</f>
        <v>40000</v>
      </c>
      <c r="E1199">
        <f ca="1">IFERROR(__xludf.DUMMYFUNCTION("""COMPUTED_VALUE"""),384)</f>
        <v>384</v>
      </c>
      <c r="F1199">
        <v>395</v>
      </c>
      <c r="G1199">
        <v>0.97215189873417718</v>
      </c>
      <c r="H1199">
        <v>24855</v>
      </c>
      <c r="I1199">
        <v>40000</v>
      </c>
      <c r="J1199">
        <v>24855</v>
      </c>
      <c r="K1199">
        <v>0.97404149828964304</v>
      </c>
      <c r="L1199">
        <f t="shared" ca="1" si="117"/>
        <v>238.60646400000002</v>
      </c>
      <c r="M1199">
        <f t="shared" si="118"/>
        <v>245.44154499999999</v>
      </c>
      <c r="N1199">
        <v>24855</v>
      </c>
      <c r="O1199">
        <f t="shared" ca="1" si="114"/>
        <v>0.97215189873417729</v>
      </c>
    </row>
    <row r="1200" spans="1:15" x14ac:dyDescent="0.2">
      <c r="A1200" t="str">
        <f ca="1">IFERROR(__xludf.DUMMYFUNCTION("""COMPUTED_VALUE"""),"km")</f>
        <v>km</v>
      </c>
      <c r="B1200" t="str">
        <f ca="1">IFERROR(__xludf.DUMMYFUNCTION("""COMPUTED_VALUE"""),"Model S P85")</f>
        <v>Model S P85</v>
      </c>
      <c r="D1200">
        <f ca="1">IFERROR(__xludf.DUMMYFUNCTION("""COMPUTED_VALUE"""),43500)</f>
        <v>43500</v>
      </c>
      <c r="E1200">
        <f ca="1">IFERROR(__xludf.DUMMYFUNCTION("""COMPUTED_VALUE"""),384)</f>
        <v>384</v>
      </c>
      <c r="F1200">
        <v>395</v>
      </c>
      <c r="G1200">
        <v>0.97215189873417718</v>
      </c>
      <c r="H1200">
        <v>27030</v>
      </c>
      <c r="I1200">
        <v>43500</v>
      </c>
      <c r="J1200">
        <v>27030</v>
      </c>
      <c r="K1200">
        <v>0.97191073942701633</v>
      </c>
      <c r="L1200">
        <f t="shared" ca="1" si="117"/>
        <v>238.60646400000002</v>
      </c>
      <c r="M1200">
        <f t="shared" si="118"/>
        <v>245.44154499999999</v>
      </c>
      <c r="N1200">
        <v>27030</v>
      </c>
      <c r="O1200">
        <f t="shared" ca="1" si="114"/>
        <v>0.97215189873417729</v>
      </c>
    </row>
    <row r="1201" spans="1:15" x14ac:dyDescent="0.2">
      <c r="A1201" t="str">
        <f ca="1">IFERROR(__xludf.DUMMYFUNCTION("""COMPUTED_VALUE"""),"km")</f>
        <v>km</v>
      </c>
      <c r="B1201" t="str">
        <f ca="1">IFERROR(__xludf.DUMMYFUNCTION("""COMPUTED_VALUE"""),"Model S P85")</f>
        <v>Model S P85</v>
      </c>
      <c r="D1201">
        <f ca="1">IFERROR(__xludf.DUMMYFUNCTION("""COMPUTED_VALUE"""),25775)</f>
        <v>25775</v>
      </c>
      <c r="E1201">
        <f ca="1">IFERROR(__xludf.DUMMYFUNCTION("""COMPUTED_VALUE"""),384)</f>
        <v>384</v>
      </c>
      <c r="F1201">
        <v>395</v>
      </c>
      <c r="G1201">
        <v>0.97215189873417718</v>
      </c>
      <c r="H1201">
        <v>16016</v>
      </c>
      <c r="I1201">
        <v>25775</v>
      </c>
      <c r="J1201">
        <v>16016</v>
      </c>
      <c r="K1201">
        <v>0.98293664255282054</v>
      </c>
      <c r="L1201">
        <f t="shared" ca="1" si="117"/>
        <v>238.60646400000002</v>
      </c>
      <c r="M1201">
        <f t="shared" si="118"/>
        <v>245.44154499999999</v>
      </c>
      <c r="N1201">
        <v>16016</v>
      </c>
      <c r="O1201">
        <f t="shared" ca="1" si="114"/>
        <v>0.97215189873417729</v>
      </c>
    </row>
    <row r="1202" spans="1:15" x14ac:dyDescent="0.2">
      <c r="A1202" t="str">
        <f ca="1">IFERROR(__xludf.DUMMYFUNCTION("""COMPUTED_VALUE"""),"km")</f>
        <v>km</v>
      </c>
      <c r="B1202" t="str">
        <f ca="1">IFERROR(__xludf.DUMMYFUNCTION("""COMPUTED_VALUE"""),"Model S 85")</f>
        <v>Model S 85</v>
      </c>
      <c r="C1202">
        <f ca="1">IFERROR(__xludf.DUMMYFUNCTION("""COMPUTED_VALUE"""),398)</f>
        <v>398</v>
      </c>
      <c r="D1202">
        <f ca="1">IFERROR(__xludf.DUMMYFUNCTION("""COMPUTED_VALUE"""),60000)</f>
        <v>60000</v>
      </c>
      <c r="E1202">
        <f ca="1">IFERROR(__xludf.DUMMYFUNCTION("""COMPUTED_VALUE"""),384)</f>
        <v>384</v>
      </c>
      <c r="F1202">
        <v>395</v>
      </c>
      <c r="G1202">
        <v>0.97215189873417718</v>
      </c>
      <c r="H1202">
        <v>37282</v>
      </c>
      <c r="I1202">
        <v>60000</v>
      </c>
      <c r="J1202">
        <v>37282</v>
      </c>
      <c r="K1202">
        <v>0.9621774876664213</v>
      </c>
      <c r="L1202">
        <f t="shared" ca="1" si="117"/>
        <v>238.60646400000002</v>
      </c>
      <c r="M1202">
        <f t="shared" si="118"/>
        <v>245.44154499999999</v>
      </c>
      <c r="N1202">
        <v>37282</v>
      </c>
      <c r="O1202">
        <f t="shared" ca="1" si="114"/>
        <v>0.97215189873417729</v>
      </c>
    </row>
    <row r="1203" spans="1:15" x14ac:dyDescent="0.2">
      <c r="A1203" t="str">
        <f ca="1">IFERROR(__xludf.DUMMYFUNCTION("""COMPUTED_VALUE"""),"km")</f>
        <v>km</v>
      </c>
      <c r="B1203" t="str">
        <f ca="1">IFERROR(__xludf.DUMMYFUNCTION("""COMPUTED_VALUE"""),"Model S P85")</f>
        <v>Model S P85</v>
      </c>
      <c r="D1203">
        <f ca="1">IFERROR(__xludf.DUMMYFUNCTION("""COMPUTED_VALUE"""),68000)</f>
        <v>68000</v>
      </c>
      <c r="E1203">
        <f ca="1">IFERROR(__xludf.DUMMYFUNCTION("""COMPUTED_VALUE"""),384)</f>
        <v>384</v>
      </c>
      <c r="F1203">
        <v>395</v>
      </c>
      <c r="G1203">
        <v>0.97215189873417718</v>
      </c>
      <c r="H1203">
        <v>42253</v>
      </c>
      <c r="I1203">
        <v>68000</v>
      </c>
      <c r="J1203">
        <v>42253</v>
      </c>
      <c r="K1203">
        <v>0.95764547180201132</v>
      </c>
      <c r="L1203">
        <f t="shared" ca="1" si="117"/>
        <v>238.60646400000002</v>
      </c>
      <c r="M1203">
        <f t="shared" si="118"/>
        <v>245.44154499999999</v>
      </c>
      <c r="N1203">
        <v>42253</v>
      </c>
      <c r="O1203">
        <f t="shared" ca="1" si="114"/>
        <v>0.97215189873417729</v>
      </c>
    </row>
    <row r="1204" spans="1:15" x14ac:dyDescent="0.2">
      <c r="A1204" t="str">
        <f ca="1">IFERROR(__xludf.DUMMYFUNCTION("""COMPUTED_VALUE"""),"km")</f>
        <v>km</v>
      </c>
      <c r="B1204" t="str">
        <f ca="1">IFERROR(__xludf.DUMMYFUNCTION("""COMPUTED_VALUE"""),"Model S P85")</f>
        <v>Model S P85</v>
      </c>
      <c r="D1204">
        <f ca="1">IFERROR(__xludf.DUMMYFUNCTION("""COMPUTED_VALUE"""),41924)</f>
        <v>41924</v>
      </c>
      <c r="E1204">
        <f ca="1">IFERROR(__xludf.DUMMYFUNCTION("""COMPUTED_VALUE"""),384)</f>
        <v>384</v>
      </c>
      <c r="F1204">
        <v>395</v>
      </c>
      <c r="G1204">
        <v>0.97215189873417718</v>
      </c>
      <c r="H1204">
        <v>26050</v>
      </c>
      <c r="I1204">
        <v>41924</v>
      </c>
      <c r="J1204">
        <v>26050</v>
      </c>
      <c r="K1204">
        <v>0.97286734469396052</v>
      </c>
      <c r="L1204">
        <f t="shared" ca="1" si="117"/>
        <v>238.60646400000002</v>
      </c>
      <c r="M1204">
        <f t="shared" si="118"/>
        <v>245.44154499999999</v>
      </c>
      <c r="N1204">
        <v>26050</v>
      </c>
      <c r="O1204">
        <f t="shared" ca="1" si="114"/>
        <v>0.97215189873417729</v>
      </c>
    </row>
    <row r="1205" spans="1:15" x14ac:dyDescent="0.2">
      <c r="A1205" t="str">
        <f ca="1">IFERROR(__xludf.DUMMYFUNCTION("""COMPUTED_VALUE"""),"km")</f>
        <v>km</v>
      </c>
      <c r="B1205" t="str">
        <f ca="1">IFERROR(__xludf.DUMMYFUNCTION("""COMPUTED_VALUE"""),"Model S 85")</f>
        <v>Model S 85</v>
      </c>
      <c r="D1205">
        <f ca="1">IFERROR(__xludf.DUMMYFUNCTION("""COMPUTED_VALUE"""),13200)</f>
        <v>13200</v>
      </c>
      <c r="E1205">
        <f ca="1">IFERROR(__xludf.DUMMYFUNCTION("""COMPUTED_VALUE"""),384)</f>
        <v>384</v>
      </c>
      <c r="F1205">
        <v>395</v>
      </c>
      <c r="G1205">
        <v>0.97215189873417718</v>
      </c>
      <c r="H1205">
        <v>8202</v>
      </c>
      <c r="I1205">
        <v>13200</v>
      </c>
      <c r="J1205">
        <v>8202</v>
      </c>
      <c r="K1205">
        <v>0.99111071121224326</v>
      </c>
      <c r="L1205">
        <f t="shared" ca="1" si="117"/>
        <v>238.60646400000002</v>
      </c>
      <c r="M1205">
        <f t="shared" si="118"/>
        <v>245.44154499999999</v>
      </c>
      <c r="N1205">
        <v>8202</v>
      </c>
      <c r="O1205">
        <f t="shared" ca="1" si="114"/>
        <v>0.97215189873417729</v>
      </c>
    </row>
    <row r="1206" spans="1:15" x14ac:dyDescent="0.2">
      <c r="A1206" t="str">
        <f ca="1">IFERROR(__xludf.DUMMYFUNCTION("""COMPUTED_VALUE"""),"km")</f>
        <v>km</v>
      </c>
      <c r="B1206" t="str">
        <f ca="1">IFERROR(__xludf.DUMMYFUNCTION("""COMPUTED_VALUE"""),"Model S P85")</f>
        <v>Model S P85</v>
      </c>
      <c r="D1206">
        <f ca="1">IFERROR(__xludf.DUMMYFUNCTION("""COMPUTED_VALUE"""),38128)</f>
        <v>38128</v>
      </c>
      <c r="E1206">
        <f ca="1">IFERROR(__xludf.DUMMYFUNCTION("""COMPUTED_VALUE"""),384)</f>
        <v>384</v>
      </c>
      <c r="F1206">
        <v>395</v>
      </c>
      <c r="G1206">
        <v>0.97215189873417718</v>
      </c>
      <c r="H1206">
        <v>23692</v>
      </c>
      <c r="I1206">
        <v>38128</v>
      </c>
      <c r="J1206">
        <v>23692</v>
      </c>
      <c r="K1206">
        <v>0.97519057183265878</v>
      </c>
      <c r="L1206">
        <f t="shared" ca="1" si="117"/>
        <v>238.60646400000002</v>
      </c>
      <c r="M1206">
        <f t="shared" si="118"/>
        <v>245.44154499999999</v>
      </c>
      <c r="N1206">
        <v>23692</v>
      </c>
      <c r="O1206">
        <f t="shared" ca="1" si="114"/>
        <v>0.97215189873417729</v>
      </c>
    </row>
    <row r="1207" spans="1:15" x14ac:dyDescent="0.2">
      <c r="A1207" t="str">
        <f ca="1">IFERROR(__xludf.DUMMYFUNCTION("""COMPUTED_VALUE"""),"km")</f>
        <v>km</v>
      </c>
      <c r="B1207" t="str">
        <f ca="1">IFERROR(__xludf.DUMMYFUNCTION("""COMPUTED_VALUE"""),"Model S P85+")</f>
        <v>Model S P85+</v>
      </c>
      <c r="C1207">
        <f ca="1">IFERROR(__xludf.DUMMYFUNCTION("""COMPUTED_VALUE"""),400)</f>
        <v>400</v>
      </c>
      <c r="D1207">
        <f ca="1">IFERROR(__xludf.DUMMYFUNCTION("""COMPUTED_VALUE"""),54000)</f>
        <v>54000</v>
      </c>
      <c r="E1207">
        <f ca="1">IFERROR(__xludf.DUMMYFUNCTION("""COMPUTED_VALUE"""),384)</f>
        <v>384</v>
      </c>
      <c r="F1207">
        <v>395</v>
      </c>
      <c r="G1207">
        <v>0.97215189873417718</v>
      </c>
      <c r="H1207">
        <v>33554</v>
      </c>
      <c r="I1207">
        <v>54000</v>
      </c>
      <c r="J1207">
        <v>33554</v>
      </c>
      <c r="K1207">
        <v>0.96565701932832937</v>
      </c>
      <c r="L1207">
        <f t="shared" ca="1" si="117"/>
        <v>238.60646400000002</v>
      </c>
      <c r="M1207">
        <f t="shared" si="118"/>
        <v>245.44154499999999</v>
      </c>
      <c r="N1207">
        <v>33554</v>
      </c>
      <c r="O1207">
        <f t="shared" ca="1" si="114"/>
        <v>0.97215189873417729</v>
      </c>
    </row>
    <row r="1208" spans="1:15" x14ac:dyDescent="0.2">
      <c r="A1208" t="str">
        <f ca="1">IFERROR(__xludf.DUMMYFUNCTION("""COMPUTED_VALUE"""),"km")</f>
        <v>km</v>
      </c>
      <c r="B1208" t="str">
        <f ca="1">IFERROR(__xludf.DUMMYFUNCTION("""COMPUTED_VALUE"""),"Model S 85")</f>
        <v>Model S 85</v>
      </c>
      <c r="D1208">
        <f ca="1">IFERROR(__xludf.DUMMYFUNCTION("""COMPUTED_VALUE"""),60476)</f>
        <v>60476</v>
      </c>
      <c r="E1208">
        <f ca="1">IFERROR(__xludf.DUMMYFUNCTION("""COMPUTED_VALUE"""),384)</f>
        <v>384</v>
      </c>
      <c r="F1208">
        <v>395</v>
      </c>
      <c r="G1208">
        <v>0.97215189873417718</v>
      </c>
      <c r="H1208">
        <v>37578</v>
      </c>
      <c r="I1208">
        <v>60476</v>
      </c>
      <c r="J1208">
        <v>37578</v>
      </c>
      <c r="K1208">
        <v>0.96190439126861715</v>
      </c>
      <c r="L1208">
        <f t="shared" ca="1" si="117"/>
        <v>238.60646400000002</v>
      </c>
      <c r="M1208">
        <f t="shared" si="118"/>
        <v>245.44154499999999</v>
      </c>
      <c r="N1208">
        <v>37578</v>
      </c>
      <c r="O1208">
        <f t="shared" ca="1" si="114"/>
        <v>0.97215189873417729</v>
      </c>
    </row>
    <row r="1209" spans="1:15" x14ac:dyDescent="0.2">
      <c r="A1209" t="str">
        <f ca="1">IFERROR(__xludf.DUMMYFUNCTION("""COMPUTED_VALUE"""),"km")</f>
        <v>km</v>
      </c>
      <c r="B1209" t="str">
        <f ca="1">IFERROR(__xludf.DUMMYFUNCTION("""COMPUTED_VALUE"""),"Model S 85")</f>
        <v>Model S 85</v>
      </c>
      <c r="D1209">
        <f ca="1">IFERROR(__xludf.DUMMYFUNCTION("""COMPUTED_VALUE"""),41000)</f>
        <v>41000</v>
      </c>
      <c r="E1209">
        <f ca="1">IFERROR(__xludf.DUMMYFUNCTION("""COMPUTED_VALUE"""),384)</f>
        <v>384</v>
      </c>
      <c r="F1209">
        <v>395</v>
      </c>
      <c r="G1209">
        <v>0.97215189873417718</v>
      </c>
      <c r="H1209">
        <v>25476</v>
      </c>
      <c r="I1209">
        <v>41000</v>
      </c>
      <c r="J1209">
        <v>25476</v>
      </c>
      <c r="K1209">
        <v>0.97343036521734783</v>
      </c>
      <c r="L1209">
        <f t="shared" ca="1" si="117"/>
        <v>238.60646400000002</v>
      </c>
      <c r="M1209">
        <f t="shared" si="118"/>
        <v>245.44154499999999</v>
      </c>
      <c r="N1209">
        <v>25476</v>
      </c>
      <c r="O1209">
        <f t="shared" ca="1" si="114"/>
        <v>0.97215189873417729</v>
      </c>
    </row>
    <row r="1210" spans="1:15" x14ac:dyDescent="0.2">
      <c r="A1210" t="str">
        <f ca="1">IFERROR(__xludf.DUMMYFUNCTION("""COMPUTED_VALUE"""),"km")</f>
        <v>km</v>
      </c>
      <c r="B1210" t="str">
        <f ca="1">IFERROR(__xludf.DUMMYFUNCTION("""COMPUTED_VALUE"""),"Model S P85")</f>
        <v>Model S P85</v>
      </c>
      <c r="D1210">
        <f ca="1">IFERROR(__xludf.DUMMYFUNCTION("""COMPUTED_VALUE"""),33000)</f>
        <v>33000</v>
      </c>
      <c r="E1210">
        <f ca="1">IFERROR(__xludf.DUMMYFUNCTION("""COMPUTED_VALUE"""),384)</f>
        <v>384</v>
      </c>
      <c r="F1210">
        <v>395</v>
      </c>
      <c r="G1210">
        <v>0.97215189873417718</v>
      </c>
      <c r="H1210">
        <v>20505</v>
      </c>
      <c r="I1210">
        <v>33000</v>
      </c>
      <c r="J1210">
        <v>20505</v>
      </c>
      <c r="K1210">
        <v>0.97837174568397722</v>
      </c>
      <c r="L1210">
        <f t="shared" ca="1" si="117"/>
        <v>238.60646400000002</v>
      </c>
      <c r="M1210">
        <f t="shared" si="118"/>
        <v>245.44154499999999</v>
      </c>
      <c r="N1210">
        <v>20505</v>
      </c>
      <c r="O1210">
        <f t="shared" ca="1" si="114"/>
        <v>0.97215189873417729</v>
      </c>
    </row>
    <row r="1211" spans="1:15" x14ac:dyDescent="0.2">
      <c r="A1211" t="str">
        <f ca="1">IFERROR(__xludf.DUMMYFUNCTION("""COMPUTED_VALUE"""),"km")</f>
        <v>km</v>
      </c>
      <c r="B1211" t="str">
        <f ca="1">IFERROR(__xludf.DUMMYFUNCTION("""COMPUTED_VALUE"""),"Model S P85+")</f>
        <v>Model S P85+</v>
      </c>
      <c r="D1211">
        <f ca="1">IFERROR(__xludf.DUMMYFUNCTION("""COMPUTED_VALUE"""),23056)</f>
        <v>23056</v>
      </c>
      <c r="E1211">
        <f ca="1">IFERROR(__xludf.DUMMYFUNCTION("""COMPUTED_VALUE"""),384)</f>
        <v>384</v>
      </c>
      <c r="F1211">
        <v>395</v>
      </c>
      <c r="G1211">
        <v>0.97215189873417718</v>
      </c>
      <c r="H1211">
        <v>14326</v>
      </c>
      <c r="I1211">
        <v>23056</v>
      </c>
      <c r="J1211">
        <v>14326</v>
      </c>
      <c r="K1211">
        <v>0.9846795135051416</v>
      </c>
      <c r="L1211">
        <f t="shared" ca="1" si="117"/>
        <v>238.60646400000002</v>
      </c>
      <c r="M1211">
        <f t="shared" si="118"/>
        <v>245.44154499999999</v>
      </c>
      <c r="N1211">
        <v>14326</v>
      </c>
      <c r="O1211">
        <f t="shared" ca="1" si="114"/>
        <v>0.97215189873417729</v>
      </c>
    </row>
    <row r="1212" spans="1:15" x14ac:dyDescent="0.2">
      <c r="A1212" t="str">
        <f ca="1">IFERROR(__xludf.DUMMYFUNCTION("""COMPUTED_VALUE"""),"km")</f>
        <v>km</v>
      </c>
      <c r="B1212" t="str">
        <f ca="1">IFERROR(__xludf.DUMMYFUNCTION("""COMPUTED_VALUE"""),"Unspecified 85 kWh")</f>
        <v>Unspecified 85 kWh</v>
      </c>
      <c r="D1212">
        <f ca="1">IFERROR(__xludf.DUMMYFUNCTION("""COMPUTED_VALUE"""),30000)</f>
        <v>30000</v>
      </c>
      <c r="E1212">
        <f ca="1">IFERROR(__xludf.DUMMYFUNCTION("""COMPUTED_VALUE"""),384)</f>
        <v>384</v>
      </c>
      <c r="F1212">
        <v>395</v>
      </c>
      <c r="G1212">
        <v>0.97215189873417718</v>
      </c>
      <c r="H1212">
        <v>18641</v>
      </c>
      <c r="I1212">
        <v>30000</v>
      </c>
      <c r="J1212">
        <v>18641</v>
      </c>
      <c r="K1212">
        <v>0.98025547595861162</v>
      </c>
      <c r="L1212">
        <f t="shared" ca="1" si="117"/>
        <v>238.60646400000002</v>
      </c>
      <c r="M1212">
        <f t="shared" si="118"/>
        <v>245.44154499999999</v>
      </c>
      <c r="N1212">
        <v>18641</v>
      </c>
      <c r="O1212">
        <f t="shared" ca="1" si="114"/>
        <v>0.97215189873417729</v>
      </c>
    </row>
    <row r="1213" spans="1:15" x14ac:dyDescent="0.2">
      <c r="A1213" t="str">
        <f ca="1">IFERROR(__xludf.DUMMYFUNCTION("""COMPUTED_VALUE"""),"km")</f>
        <v>km</v>
      </c>
      <c r="B1213" t="str">
        <f ca="1">IFERROR(__xludf.DUMMYFUNCTION("""COMPUTED_VALUE"""),"Model S 85")</f>
        <v>Model S 85</v>
      </c>
      <c r="D1213">
        <f ca="1">IFERROR(__xludf.DUMMYFUNCTION("""COMPUTED_VALUE"""),20200)</f>
        <v>20200</v>
      </c>
      <c r="E1213">
        <f ca="1">IFERROR(__xludf.DUMMYFUNCTION("""COMPUTED_VALUE"""),384)</f>
        <v>384</v>
      </c>
      <c r="F1213">
        <v>395</v>
      </c>
      <c r="G1213">
        <v>0.97215189873417718</v>
      </c>
      <c r="H1213">
        <v>12552</v>
      </c>
      <c r="I1213">
        <v>20200</v>
      </c>
      <c r="J1213">
        <v>12552</v>
      </c>
      <c r="K1213">
        <v>0.98652482474963654</v>
      </c>
      <c r="L1213">
        <f t="shared" ca="1" si="117"/>
        <v>238.60646400000002</v>
      </c>
      <c r="M1213">
        <f t="shared" si="118"/>
        <v>245.44154499999999</v>
      </c>
      <c r="N1213">
        <v>12552</v>
      </c>
      <c r="O1213">
        <f t="shared" ca="1" si="114"/>
        <v>0.97215189873417729</v>
      </c>
    </row>
    <row r="1214" spans="1:15" x14ac:dyDescent="0.2">
      <c r="A1214" t="str">
        <f ca="1">IFERROR(__xludf.DUMMYFUNCTION("""COMPUTED_VALUE"""),"km")</f>
        <v>km</v>
      </c>
      <c r="B1214" t="str">
        <f ca="1">IFERROR(__xludf.DUMMYFUNCTION("""COMPUTED_VALUE"""),"Model S P85")</f>
        <v>Model S P85</v>
      </c>
      <c r="D1214">
        <f ca="1">IFERROR(__xludf.DUMMYFUNCTION("""COMPUTED_VALUE"""),33598)</f>
        <v>33598</v>
      </c>
      <c r="E1214">
        <f ca="1">IFERROR(__xludf.DUMMYFUNCTION("""COMPUTED_VALUE"""),384)</f>
        <v>384</v>
      </c>
      <c r="F1214">
        <v>395</v>
      </c>
      <c r="G1214">
        <v>0.97215189873417718</v>
      </c>
      <c r="H1214">
        <v>20877</v>
      </c>
      <c r="I1214">
        <v>33598</v>
      </c>
      <c r="J1214">
        <v>20877</v>
      </c>
      <c r="K1214">
        <v>0.97799825230677373</v>
      </c>
      <c r="L1214">
        <f t="shared" ca="1" si="117"/>
        <v>238.60646400000002</v>
      </c>
      <c r="M1214">
        <f t="shared" si="118"/>
        <v>245.44154499999999</v>
      </c>
      <c r="N1214">
        <v>20877</v>
      </c>
      <c r="O1214">
        <f t="shared" ca="1" si="114"/>
        <v>0.97215189873417729</v>
      </c>
    </row>
    <row r="1215" spans="1:15" x14ac:dyDescent="0.2">
      <c r="A1215" t="str">
        <f ca="1">IFERROR(__xludf.DUMMYFUNCTION("""COMPUTED_VALUE"""),"km")</f>
        <v>km</v>
      </c>
      <c r="B1215" t="str">
        <f ca="1">IFERROR(__xludf.DUMMYFUNCTION("""COMPUTED_VALUE"""),"Model S 70D")</f>
        <v>Model S 70D</v>
      </c>
      <c r="C1215">
        <f ca="1">IFERROR(__xludf.DUMMYFUNCTION("""COMPUTED_VALUE"""),360)</f>
        <v>360</v>
      </c>
      <c r="D1215">
        <f ca="1">IFERROR(__xludf.DUMMYFUNCTION("""COMPUTED_VALUE"""),47832)</f>
        <v>47832</v>
      </c>
      <c r="E1215">
        <f ca="1">IFERROR(__xludf.DUMMYFUNCTION("""COMPUTED_VALUE"""),350)</f>
        <v>350</v>
      </c>
      <c r="F1215">
        <v>360</v>
      </c>
      <c r="G1215">
        <v>0.97222222222222221</v>
      </c>
      <c r="H1215">
        <v>29721</v>
      </c>
      <c r="I1215">
        <v>47832</v>
      </c>
      <c r="J1215">
        <v>29721</v>
      </c>
      <c r="K1215">
        <v>0.96930537347929335</v>
      </c>
      <c r="L1215">
        <f t="shared" ca="1" si="117"/>
        <v>217.47985</v>
      </c>
      <c r="M1215">
        <f t="shared" si="118"/>
        <v>223.69355999999999</v>
      </c>
      <c r="N1215">
        <v>29721</v>
      </c>
      <c r="O1215">
        <f t="shared" ca="1" si="114"/>
        <v>0.97222222222222221</v>
      </c>
    </row>
    <row r="1216" spans="1:15" x14ac:dyDescent="0.2">
      <c r="A1216" t="str">
        <f ca="1">IFERROR(__xludf.DUMMYFUNCTION("""COMPUTED_VALUE"""),"km")</f>
        <v>km</v>
      </c>
      <c r="B1216" t="str">
        <f ca="1">IFERROR(__xludf.DUMMYFUNCTION("""COMPUTED_VALUE"""),"Model S 70D")</f>
        <v>Model S 70D</v>
      </c>
      <c r="C1216">
        <f ca="1">IFERROR(__xludf.DUMMYFUNCTION("""COMPUTED_VALUE"""),360)</f>
        <v>360</v>
      </c>
      <c r="D1216">
        <f ca="1">IFERROR(__xludf.DUMMYFUNCTION("""COMPUTED_VALUE"""),84753)</f>
        <v>84753</v>
      </c>
      <c r="E1216">
        <f ca="1">IFERROR(__xludf.DUMMYFUNCTION("""COMPUTED_VALUE"""),350)</f>
        <v>350</v>
      </c>
      <c r="F1216">
        <v>360</v>
      </c>
      <c r="G1216">
        <v>0.97222222222222221</v>
      </c>
      <c r="H1216">
        <v>52663</v>
      </c>
      <c r="I1216">
        <v>84753</v>
      </c>
      <c r="J1216">
        <v>52663</v>
      </c>
      <c r="K1216">
        <v>0.94855702810988318</v>
      </c>
      <c r="L1216">
        <f t="shared" ca="1" si="117"/>
        <v>217.47985</v>
      </c>
      <c r="M1216">
        <f t="shared" si="118"/>
        <v>223.69355999999999</v>
      </c>
      <c r="N1216">
        <v>52663</v>
      </c>
      <c r="O1216">
        <f t="shared" ca="1" si="114"/>
        <v>0.97222222222222221</v>
      </c>
    </row>
    <row r="1217" spans="1:15" x14ac:dyDescent="0.2">
      <c r="A1217" t="str">
        <f ca="1">IFERROR(__xludf.DUMMYFUNCTION("""COMPUTED_VALUE"""),"km")</f>
        <v>km</v>
      </c>
      <c r="B1217" t="str">
        <f ca="1">IFERROR(__xludf.DUMMYFUNCTION("""COMPUTED_VALUE"""),"Model S 70D")</f>
        <v>Model S 70D</v>
      </c>
      <c r="C1217">
        <f ca="1">IFERROR(__xludf.DUMMYFUNCTION("""COMPUTED_VALUE"""),360)</f>
        <v>360</v>
      </c>
      <c r="D1217">
        <f ca="1">IFERROR(__xludf.DUMMYFUNCTION("""COMPUTED_VALUE"""),80104)</f>
        <v>80104</v>
      </c>
      <c r="E1217">
        <f ca="1">IFERROR(__xludf.DUMMYFUNCTION("""COMPUTED_VALUE"""),350)</f>
        <v>350</v>
      </c>
      <c r="F1217">
        <v>360</v>
      </c>
      <c r="G1217">
        <v>0.97222222222222221</v>
      </c>
      <c r="H1217">
        <v>49774</v>
      </c>
      <c r="I1217">
        <v>80104</v>
      </c>
      <c r="J1217">
        <v>49774</v>
      </c>
      <c r="K1217">
        <v>0.95102410583666841</v>
      </c>
      <c r="L1217">
        <f t="shared" ca="1" si="117"/>
        <v>217.47985</v>
      </c>
      <c r="M1217">
        <f t="shared" si="118"/>
        <v>223.69355999999999</v>
      </c>
      <c r="N1217">
        <v>49774</v>
      </c>
      <c r="O1217">
        <f t="shared" ca="1" si="114"/>
        <v>0.97222222222222221</v>
      </c>
    </row>
    <row r="1218" spans="1:15" x14ac:dyDescent="0.2">
      <c r="A1218" t="str">
        <f ca="1">IFERROR(__xludf.DUMMYFUNCTION("""COMPUTED_VALUE"""),"km")</f>
        <v>km</v>
      </c>
      <c r="B1218" t="str">
        <f ca="1">IFERROR(__xludf.DUMMYFUNCTION("""COMPUTED_VALUE"""),"Model S 70D")</f>
        <v>Model S 70D</v>
      </c>
      <c r="D1218">
        <f ca="1">IFERROR(__xludf.DUMMYFUNCTION("""COMPUTED_VALUE"""),25000)</f>
        <v>25000</v>
      </c>
      <c r="E1218">
        <f ca="1">IFERROR(__xludf.DUMMYFUNCTION("""COMPUTED_VALUE"""),350)</f>
        <v>350</v>
      </c>
      <c r="F1218">
        <v>360</v>
      </c>
      <c r="G1218">
        <v>0.97222222222222221</v>
      </c>
      <c r="H1218">
        <v>15534</v>
      </c>
      <c r="I1218">
        <v>25000</v>
      </c>
      <c r="J1218">
        <v>15534</v>
      </c>
      <c r="K1218">
        <v>0.98343202901163917</v>
      </c>
      <c r="L1218">
        <f t="shared" ca="1" si="117"/>
        <v>217.47985</v>
      </c>
      <c r="M1218">
        <f t="shared" si="118"/>
        <v>223.69355999999999</v>
      </c>
      <c r="N1218">
        <v>15534</v>
      </c>
      <c r="O1218">
        <f t="shared" ref="O1218:O1281" ca="1" si="119">L1218/M1218</f>
        <v>0.97222222222222221</v>
      </c>
    </row>
    <row r="1219" spans="1:15" x14ac:dyDescent="0.2">
      <c r="A1219" t="str">
        <f ca="1">IFERROR(__xludf.DUMMYFUNCTION("""COMPUTED_VALUE"""),"km")</f>
        <v>km</v>
      </c>
      <c r="B1219" t="str">
        <f ca="1">IFERROR(__xludf.DUMMYFUNCTION("""COMPUTED_VALUE"""),"Model S 70D")</f>
        <v>Model S 70D</v>
      </c>
      <c r="C1219">
        <f ca="1">IFERROR(__xludf.DUMMYFUNCTION("""COMPUTED_VALUE"""),360)</f>
        <v>360</v>
      </c>
      <c r="D1219">
        <f ca="1">IFERROR(__xludf.DUMMYFUNCTION("""COMPUTED_VALUE"""),4400)</f>
        <v>4400</v>
      </c>
      <c r="E1219">
        <f ca="1">IFERROR(__xludf.DUMMYFUNCTION("""COMPUTED_VALUE"""),350)</f>
        <v>350</v>
      </c>
      <c r="F1219">
        <v>360</v>
      </c>
      <c r="G1219">
        <v>0.97222222222222221</v>
      </c>
      <c r="H1219">
        <v>2734</v>
      </c>
      <c r="I1219">
        <v>4400</v>
      </c>
      <c r="J1219">
        <v>2734</v>
      </c>
      <c r="K1219">
        <v>0.99700202680964356</v>
      </c>
      <c r="L1219">
        <f t="shared" ca="1" si="117"/>
        <v>217.47985</v>
      </c>
      <c r="M1219">
        <f t="shared" si="118"/>
        <v>223.69355999999999</v>
      </c>
      <c r="N1219">
        <v>2734</v>
      </c>
      <c r="O1219">
        <f t="shared" ca="1" si="119"/>
        <v>0.97222222222222221</v>
      </c>
    </row>
    <row r="1220" spans="1:15" x14ac:dyDescent="0.2">
      <c r="A1220" t="str">
        <f ca="1">IFERROR(__xludf.DUMMYFUNCTION("""COMPUTED_VALUE"""),"mi")</f>
        <v>mi</v>
      </c>
      <c r="B1220" t="str">
        <f ca="1">IFERROR(__xludf.DUMMYFUNCTION("""COMPUTED_VALUE"""),"Model S 60D")</f>
        <v>Model S 60D</v>
      </c>
      <c r="C1220">
        <f ca="1">IFERROR(__xludf.DUMMYFUNCTION("""COMPUTED_VALUE"""),218)</f>
        <v>218</v>
      </c>
      <c r="D1220">
        <f ca="1">IFERROR(__xludf.DUMMYFUNCTION("""COMPUTED_VALUE"""),8286)</f>
        <v>8286</v>
      </c>
      <c r="E1220">
        <f ca="1">IFERROR(__xludf.DUMMYFUNCTION("""COMPUTED_VALUE"""),213)</f>
        <v>213</v>
      </c>
      <c r="F1220">
        <v>219</v>
      </c>
      <c r="G1220">
        <v>0.9726027397260274</v>
      </c>
      <c r="H1220">
        <v>8286</v>
      </c>
      <c r="I1220">
        <v>13335</v>
      </c>
      <c r="J1220">
        <v>8286</v>
      </c>
      <c r="K1220">
        <v>0.99102142507363566</v>
      </c>
      <c r="L1220">
        <f ca="1">IFERROR(__xludf.DUMMYFUNCTION("""COMPUTED_VALUE"""),213)</f>
        <v>213</v>
      </c>
      <c r="M1220">
        <v>219</v>
      </c>
      <c r="N1220">
        <v>8286</v>
      </c>
      <c r="O1220">
        <f t="shared" ca="1" si="119"/>
        <v>0.9726027397260274</v>
      </c>
    </row>
    <row r="1221" spans="1:15" x14ac:dyDescent="0.2">
      <c r="A1221" t="str">
        <f ca="1">IFERROR(__xludf.DUMMYFUNCTION("""COMPUTED_VALUE"""),"mi")</f>
        <v>mi</v>
      </c>
      <c r="B1221" t="str">
        <f ca="1">IFERROR(__xludf.DUMMYFUNCTION("""COMPUTED_VALUE"""),"Model S 90D")</f>
        <v>Model S 90D</v>
      </c>
      <c r="C1221">
        <f ca="1">IFERROR(__xludf.DUMMYFUNCTION("""COMPUTED_VALUE"""),293)</f>
        <v>293</v>
      </c>
      <c r="D1221">
        <f ca="1">IFERROR(__xludf.DUMMYFUNCTION("""COMPUTED_VALUE"""),10000)</f>
        <v>10000</v>
      </c>
      <c r="E1221">
        <f ca="1">IFERROR(__xludf.DUMMYFUNCTION("""COMPUTED_VALUE"""),284)</f>
        <v>284</v>
      </c>
      <c r="F1221">
        <v>292</v>
      </c>
      <c r="G1221">
        <v>0.9726027397260274</v>
      </c>
      <c r="H1221">
        <v>10000</v>
      </c>
      <c r="I1221">
        <v>16093</v>
      </c>
      <c r="J1221">
        <v>10000</v>
      </c>
      <c r="K1221">
        <v>0.98920459765945912</v>
      </c>
      <c r="L1221">
        <f ca="1">IFERROR(__xludf.DUMMYFUNCTION("""COMPUTED_VALUE"""),284)</f>
        <v>284</v>
      </c>
      <c r="M1221">
        <v>292</v>
      </c>
      <c r="N1221">
        <v>10000</v>
      </c>
      <c r="O1221">
        <f t="shared" ca="1" si="119"/>
        <v>0.9726027397260274</v>
      </c>
    </row>
    <row r="1222" spans="1:15" x14ac:dyDescent="0.2">
      <c r="A1222" t="str">
        <f ca="1">IFERROR(__xludf.DUMMYFUNCTION("""COMPUTED_VALUE"""),"km")</f>
        <v>km</v>
      </c>
      <c r="B1222" t="str">
        <f ca="1">IFERROR(__xludf.DUMMYFUNCTION("""COMPUTED_VALUE"""),"Model S P85D")</f>
        <v>Model S P85D</v>
      </c>
      <c r="C1222">
        <f ca="1">IFERROR(__xludf.DUMMYFUNCTION("""COMPUTED_VALUE"""),406)</f>
        <v>406</v>
      </c>
      <c r="D1222">
        <f ca="1">IFERROR(__xludf.DUMMYFUNCTION("""COMPUTED_VALUE"""),17968)</f>
        <v>17968</v>
      </c>
      <c r="E1222">
        <f ca="1">IFERROR(__xludf.DUMMYFUNCTION("""COMPUTED_VALUE"""),392)</f>
        <v>392</v>
      </c>
      <c r="F1222">
        <v>403</v>
      </c>
      <c r="G1222">
        <v>0.97270471464019848</v>
      </c>
      <c r="H1222">
        <v>11165</v>
      </c>
      <c r="I1222">
        <v>17968</v>
      </c>
      <c r="J1222">
        <v>11165</v>
      </c>
      <c r="K1222">
        <v>0.9879773582419672</v>
      </c>
      <c r="L1222">
        <f ca="1">E1222*0.621371</f>
        <v>243.57743200000002</v>
      </c>
      <c r="M1222">
        <f>F1222*0.621371</f>
        <v>250.41251299999999</v>
      </c>
      <c r="N1222">
        <v>11165</v>
      </c>
      <c r="O1222">
        <f t="shared" ca="1" si="119"/>
        <v>0.97270471464019859</v>
      </c>
    </row>
    <row r="1223" spans="1:15" x14ac:dyDescent="0.2">
      <c r="A1223" t="str">
        <f ca="1">IFERROR(__xludf.DUMMYFUNCTION("""COMPUTED_VALUE"""),"km")</f>
        <v>km</v>
      </c>
      <c r="B1223" t="str">
        <f ca="1">IFERROR(__xludf.DUMMYFUNCTION("""COMPUTED_VALUE"""),"Model S P85D")</f>
        <v>Model S P85D</v>
      </c>
      <c r="C1223">
        <f ca="1">IFERROR(__xludf.DUMMYFUNCTION("""COMPUTED_VALUE"""),406)</f>
        <v>406</v>
      </c>
      <c r="D1223">
        <f ca="1">IFERROR(__xludf.DUMMYFUNCTION("""COMPUTED_VALUE"""),17865)</f>
        <v>17865</v>
      </c>
      <c r="E1223">
        <f ca="1">IFERROR(__xludf.DUMMYFUNCTION("""COMPUTED_VALUE"""),392)</f>
        <v>392</v>
      </c>
      <c r="F1223">
        <v>403</v>
      </c>
      <c r="G1223">
        <v>0.97270471464019848</v>
      </c>
      <c r="H1223">
        <v>11101</v>
      </c>
      <c r="I1223">
        <v>17865</v>
      </c>
      <c r="J1223">
        <v>11101</v>
      </c>
      <c r="K1223">
        <v>0.98804460804442473</v>
      </c>
      <c r="L1223">
        <f ca="1">E1223*0.621371</f>
        <v>243.57743200000002</v>
      </c>
      <c r="M1223">
        <f>F1223*0.621371</f>
        <v>250.41251299999999</v>
      </c>
      <c r="N1223">
        <v>11101</v>
      </c>
      <c r="O1223">
        <f t="shared" ca="1" si="119"/>
        <v>0.97270471464019859</v>
      </c>
    </row>
    <row r="1224" spans="1:15" x14ac:dyDescent="0.2">
      <c r="A1224" t="str">
        <f ca="1">IFERROR(__xludf.DUMMYFUNCTION("""COMPUTED_VALUE"""),"mi")</f>
        <v>mi</v>
      </c>
      <c r="B1224" t="str">
        <f ca="1">IFERROR(__xludf.DUMMYFUNCTION("""COMPUTED_VALUE"""),"Model 3 SR")</f>
        <v>Model 3 SR</v>
      </c>
      <c r="C1224">
        <f ca="1">IFERROR(__xludf.DUMMYFUNCTION("""COMPUTED_VALUE"""),210)</f>
        <v>210</v>
      </c>
      <c r="D1224">
        <f ca="1">IFERROR(__xludf.DUMMYFUNCTION("""COMPUTED_VALUE"""),350)</f>
        <v>350</v>
      </c>
      <c r="E1224">
        <f ca="1">IFERROR(__xludf.DUMMYFUNCTION("""COMPUTED_VALUE"""),214)</f>
        <v>214</v>
      </c>
      <c r="F1224">
        <v>220</v>
      </c>
      <c r="G1224">
        <v>0.97272727272727277</v>
      </c>
      <c r="H1224">
        <v>350</v>
      </c>
      <c r="I1224">
        <v>563</v>
      </c>
      <c r="J1224">
        <v>350</v>
      </c>
      <c r="K1224">
        <v>0.99961445917300962</v>
      </c>
      <c r="L1224">
        <f ca="1">IFERROR(__xludf.DUMMYFUNCTION("""COMPUTED_VALUE"""),214)</f>
        <v>214</v>
      </c>
      <c r="M1224">
        <v>220</v>
      </c>
      <c r="N1224">
        <v>350</v>
      </c>
      <c r="O1224">
        <f t="shared" ca="1" si="119"/>
        <v>0.97272727272727277</v>
      </c>
    </row>
    <row r="1225" spans="1:15" x14ac:dyDescent="0.2">
      <c r="A1225" t="str">
        <f ca="1">IFERROR(__xludf.DUMMYFUNCTION("""COMPUTED_VALUE"""),"mi")</f>
        <v>mi</v>
      </c>
      <c r="B1225" t="str">
        <f ca="1">IFERROR(__xludf.DUMMYFUNCTION("""COMPUTED_VALUE"""),"Model S 75D")</f>
        <v>Model S 75D</v>
      </c>
      <c r="D1225">
        <f ca="1">IFERROR(__xludf.DUMMYFUNCTION("""COMPUTED_VALUE"""),28583)</f>
        <v>28583</v>
      </c>
      <c r="E1225">
        <f ca="1">IFERROR(__xludf.DUMMYFUNCTION("""COMPUTED_VALUE"""),252)</f>
        <v>252</v>
      </c>
      <c r="F1225">
        <v>259</v>
      </c>
      <c r="G1225">
        <v>0.97297297297297303</v>
      </c>
      <c r="H1225">
        <v>28583</v>
      </c>
      <c r="I1225">
        <v>46000</v>
      </c>
      <c r="J1225">
        <v>28583</v>
      </c>
      <c r="K1225">
        <v>0.97040286442141643</v>
      </c>
      <c r="L1225">
        <f ca="1">IFERROR(__xludf.DUMMYFUNCTION("""COMPUTED_VALUE"""),252)</f>
        <v>252</v>
      </c>
      <c r="M1225">
        <v>259</v>
      </c>
      <c r="N1225">
        <v>28583</v>
      </c>
      <c r="O1225">
        <f t="shared" ca="1" si="119"/>
        <v>0.97297297297297303</v>
      </c>
    </row>
    <row r="1226" spans="1:15" x14ac:dyDescent="0.2">
      <c r="A1226" t="str">
        <f ca="1">IFERROR(__xludf.DUMMYFUNCTION("""COMPUTED_VALUE"""),"km")</f>
        <v>km</v>
      </c>
      <c r="B1226" t="str">
        <f ca="1">IFERROR(__xludf.DUMMYFUNCTION("""COMPUTED_VALUE"""),"Model S 90D")</f>
        <v>Model S 90D</v>
      </c>
      <c r="D1226">
        <f ca="1">IFERROR(__xludf.DUMMYFUNCTION("""COMPUTED_VALUE"""),60968)</f>
        <v>60968</v>
      </c>
      <c r="E1226">
        <f ca="1">IFERROR(__xludf.DUMMYFUNCTION("""COMPUTED_VALUE"""),435)</f>
        <v>435</v>
      </c>
      <c r="F1226">
        <v>447</v>
      </c>
      <c r="G1226">
        <v>0.97315436241610742</v>
      </c>
      <c r="H1226">
        <v>37884</v>
      </c>
      <c r="I1226">
        <v>60968</v>
      </c>
      <c r="J1226">
        <v>37884</v>
      </c>
      <c r="K1226">
        <v>0.96162257158555986</v>
      </c>
      <c r="L1226">
        <f t="shared" ref="L1226:M1228" ca="1" si="120">E1226*0.621371</f>
        <v>270.29638499999999</v>
      </c>
      <c r="M1226">
        <f t="shared" si="120"/>
        <v>277.752837</v>
      </c>
      <c r="N1226">
        <v>37884</v>
      </c>
      <c r="O1226">
        <f t="shared" ca="1" si="119"/>
        <v>0.97315436241610731</v>
      </c>
    </row>
    <row r="1227" spans="1:15" x14ac:dyDescent="0.2">
      <c r="A1227" t="str">
        <f ca="1">IFERROR(__xludf.DUMMYFUNCTION("""COMPUTED_VALUE"""),"km")</f>
        <v>km</v>
      </c>
      <c r="B1227" t="str">
        <f ca="1">IFERROR(__xludf.DUMMYFUNCTION("""COMPUTED_VALUE"""),"Model S 90D")</f>
        <v>Model S 90D</v>
      </c>
      <c r="C1227">
        <f ca="1">IFERROR(__xludf.DUMMYFUNCTION("""COMPUTED_VALUE"""),455)</f>
        <v>455</v>
      </c>
      <c r="D1227">
        <f ca="1">IFERROR(__xludf.DUMMYFUNCTION("""COMPUTED_VALUE"""),14500)</f>
        <v>14500</v>
      </c>
      <c r="E1227">
        <f ca="1">IFERROR(__xludf.DUMMYFUNCTION("""COMPUTED_VALUE"""),435)</f>
        <v>435</v>
      </c>
      <c r="F1227">
        <v>447</v>
      </c>
      <c r="G1227">
        <v>0.97315436241610742</v>
      </c>
      <c r="H1227">
        <v>9010</v>
      </c>
      <c r="I1227">
        <v>14500</v>
      </c>
      <c r="J1227">
        <v>9010</v>
      </c>
      <c r="K1227">
        <v>0.99025229509377832</v>
      </c>
      <c r="L1227">
        <f t="shared" ca="1" si="120"/>
        <v>270.29638499999999</v>
      </c>
      <c r="M1227">
        <f t="shared" si="120"/>
        <v>277.752837</v>
      </c>
      <c r="N1227">
        <v>9010</v>
      </c>
      <c r="O1227">
        <f t="shared" ca="1" si="119"/>
        <v>0.97315436241610731</v>
      </c>
    </row>
    <row r="1228" spans="1:15" x14ac:dyDescent="0.2">
      <c r="A1228" t="str">
        <f ca="1">IFERROR(__xludf.DUMMYFUNCTION("""COMPUTED_VALUE"""),"km")</f>
        <v>km</v>
      </c>
      <c r="B1228" t="str">
        <f ca="1">IFERROR(__xludf.DUMMYFUNCTION("""COMPUTED_VALUE"""),"Model X 100D")</f>
        <v>Model X 100D</v>
      </c>
      <c r="C1228">
        <f ca="1">IFERROR(__xludf.DUMMYFUNCTION("""COMPUTED_VALUE"""),453)</f>
        <v>453</v>
      </c>
      <c r="D1228">
        <f ca="1">IFERROR(__xludf.DUMMYFUNCTION("""COMPUTED_VALUE"""),23275)</f>
        <v>23275</v>
      </c>
      <c r="E1228">
        <f ca="1">IFERROR(__xludf.DUMMYFUNCTION("""COMPUTED_VALUE"""),436)</f>
        <v>436</v>
      </c>
      <c r="F1228">
        <v>448</v>
      </c>
      <c r="G1228">
        <v>0.9732142857142857</v>
      </c>
      <c r="H1228">
        <v>14462</v>
      </c>
      <c r="I1228">
        <v>23275</v>
      </c>
      <c r="J1228">
        <v>14462</v>
      </c>
      <c r="K1228">
        <v>0.98453863171835743</v>
      </c>
      <c r="L1228">
        <f t="shared" ca="1" si="120"/>
        <v>270.917756</v>
      </c>
      <c r="M1228">
        <f t="shared" si="120"/>
        <v>278.37420800000001</v>
      </c>
      <c r="N1228">
        <v>14462</v>
      </c>
      <c r="O1228">
        <f t="shared" ca="1" si="119"/>
        <v>0.9732142857142857</v>
      </c>
    </row>
    <row r="1229" spans="1:15" x14ac:dyDescent="0.2">
      <c r="A1229" t="str">
        <f ca="1">IFERROR(__xludf.DUMMYFUNCTION("""COMPUTED_VALUE"""),"mi")</f>
        <v>mi</v>
      </c>
      <c r="B1229" t="str">
        <f ca="1">IFERROR(__xludf.DUMMYFUNCTION("""COMPUTED_VALUE"""),"Model S 85")</f>
        <v>Model S 85</v>
      </c>
      <c r="C1229">
        <f ca="1">IFERROR(__xludf.DUMMYFUNCTION("""COMPUTED_VALUE"""),274)</f>
        <v>274</v>
      </c>
      <c r="D1229">
        <f ca="1">IFERROR(__xludf.DUMMYFUNCTION("""COMPUTED_VALUE"""),47295)</f>
        <v>47295</v>
      </c>
      <c r="E1229">
        <f ca="1">IFERROR(__xludf.DUMMYFUNCTION("""COMPUTED_VALUE"""),259)</f>
        <v>259</v>
      </c>
      <c r="F1229">
        <v>266</v>
      </c>
      <c r="G1229">
        <v>0.97368421052631582</v>
      </c>
      <c r="H1229">
        <v>47295</v>
      </c>
      <c r="I1229">
        <v>76114</v>
      </c>
      <c r="J1229">
        <v>47295</v>
      </c>
      <c r="K1229">
        <v>0.95317526009909681</v>
      </c>
      <c r="L1229">
        <f ca="1">IFERROR(__xludf.DUMMYFUNCTION("""COMPUTED_VALUE"""),259)</f>
        <v>259</v>
      </c>
      <c r="M1229">
        <v>266</v>
      </c>
      <c r="N1229">
        <v>47295</v>
      </c>
      <c r="O1229">
        <f t="shared" ca="1" si="119"/>
        <v>0.97368421052631582</v>
      </c>
    </row>
    <row r="1230" spans="1:15" x14ac:dyDescent="0.2">
      <c r="A1230" t="str">
        <f ca="1">IFERROR(__xludf.DUMMYFUNCTION("""COMPUTED_VALUE"""),"mi")</f>
        <v>mi</v>
      </c>
      <c r="B1230" t="str">
        <f ca="1">IFERROR(__xludf.DUMMYFUNCTION("""COMPUTED_VALUE"""),"Model S 85")</f>
        <v>Model S 85</v>
      </c>
      <c r="C1230">
        <f ca="1">IFERROR(__xludf.DUMMYFUNCTION("""COMPUTED_VALUE"""),265)</f>
        <v>265</v>
      </c>
      <c r="D1230">
        <f ca="1">IFERROR(__xludf.DUMMYFUNCTION("""COMPUTED_VALUE"""),24239)</f>
        <v>24239</v>
      </c>
      <c r="E1230">
        <f ca="1">IFERROR(__xludf.DUMMYFUNCTION("""COMPUTED_VALUE"""),259)</f>
        <v>259</v>
      </c>
      <c r="F1230">
        <v>266</v>
      </c>
      <c r="G1230">
        <v>0.97368421052631582</v>
      </c>
      <c r="H1230">
        <v>24239</v>
      </c>
      <c r="I1230">
        <v>39009</v>
      </c>
      <c r="J1230">
        <v>24239</v>
      </c>
      <c r="K1230">
        <v>0.97464897863374311</v>
      </c>
      <c r="L1230">
        <f ca="1">IFERROR(__xludf.DUMMYFUNCTION("""COMPUTED_VALUE"""),259)</f>
        <v>259</v>
      </c>
      <c r="M1230">
        <v>266</v>
      </c>
      <c r="N1230">
        <v>24239</v>
      </c>
      <c r="O1230">
        <f t="shared" ca="1" si="119"/>
        <v>0.97368421052631582</v>
      </c>
    </row>
    <row r="1231" spans="1:15" x14ac:dyDescent="0.2">
      <c r="A1231" t="str">
        <f ca="1">IFERROR(__xludf.DUMMYFUNCTION("""COMPUTED_VALUE"""),"km")</f>
        <v>km</v>
      </c>
      <c r="B1231" t="str">
        <f ca="1">IFERROR(__xludf.DUMMYFUNCTION("""COMPUTED_VALUE"""),"Model 3 SR+")</f>
        <v>Model 3 SR+</v>
      </c>
      <c r="C1231">
        <f ca="1">IFERROR(__xludf.DUMMYFUNCTION("""COMPUTED_VALUE"""),381)</f>
        <v>381</v>
      </c>
      <c r="D1231">
        <f ca="1">IFERROR(__xludf.DUMMYFUNCTION("""COMPUTED_VALUE"""),9923)</f>
        <v>9923</v>
      </c>
      <c r="E1231">
        <f ca="1">IFERROR(__xludf.DUMMYFUNCTION("""COMPUTED_VALUE"""),371)</f>
        <v>371</v>
      </c>
      <c r="F1231">
        <v>381</v>
      </c>
      <c r="G1231">
        <v>0.97375328083989499</v>
      </c>
      <c r="H1231">
        <v>6166</v>
      </c>
      <c r="I1231">
        <v>9923</v>
      </c>
      <c r="J1231">
        <v>6166</v>
      </c>
      <c r="K1231">
        <v>0.99328819300779869</v>
      </c>
      <c r="L1231">
        <f t="shared" ref="L1231:M1237" ca="1" si="121">E1231*0.621371</f>
        <v>230.52864099999999</v>
      </c>
      <c r="M1231">
        <f t="shared" si="121"/>
        <v>236.74235100000001</v>
      </c>
      <c r="N1231">
        <v>6166</v>
      </c>
      <c r="O1231">
        <f t="shared" ca="1" si="119"/>
        <v>0.97375328083989487</v>
      </c>
    </row>
    <row r="1232" spans="1:15" x14ac:dyDescent="0.2">
      <c r="A1232" t="str">
        <f ca="1">IFERROR(__xludf.DUMMYFUNCTION("""COMPUTED_VALUE"""),"km")</f>
        <v>km</v>
      </c>
      <c r="B1232" t="str">
        <f ca="1">IFERROR(__xludf.DUMMYFUNCTION("""COMPUTED_VALUE"""),"Model S 75D")</f>
        <v>Model S 75D</v>
      </c>
      <c r="C1232">
        <f ca="1">IFERROR(__xludf.DUMMYFUNCTION("""COMPUTED_VALUE"""),393)</f>
        <v>393</v>
      </c>
      <c r="D1232">
        <f ca="1">IFERROR(__xludf.DUMMYFUNCTION("""COMPUTED_VALUE"""),103680)</f>
        <v>103680</v>
      </c>
      <c r="E1232">
        <f ca="1">IFERROR(__xludf.DUMMYFUNCTION("""COMPUTED_VALUE"""),374)</f>
        <v>374</v>
      </c>
      <c r="F1232">
        <v>384</v>
      </c>
      <c r="G1232">
        <v>0.97395833333333337</v>
      </c>
      <c r="H1232">
        <v>64424</v>
      </c>
      <c r="I1232">
        <v>103680</v>
      </c>
      <c r="J1232">
        <v>64424</v>
      </c>
      <c r="K1232">
        <v>0.93895504629832693</v>
      </c>
      <c r="L1232">
        <f t="shared" ca="1" si="121"/>
        <v>232.392754</v>
      </c>
      <c r="M1232">
        <f t="shared" si="121"/>
        <v>238.60646400000002</v>
      </c>
      <c r="N1232">
        <v>64424</v>
      </c>
      <c r="O1232">
        <f t="shared" ca="1" si="119"/>
        <v>0.97395833333333326</v>
      </c>
    </row>
    <row r="1233" spans="1:15" x14ac:dyDescent="0.2">
      <c r="A1233" t="str">
        <f ca="1">IFERROR(__xludf.DUMMYFUNCTION("""COMPUTED_VALUE"""),"km")</f>
        <v>km</v>
      </c>
      <c r="B1233" t="str">
        <f ca="1">IFERROR(__xludf.DUMMYFUNCTION("""COMPUTED_VALUE"""),"Model S 75D")</f>
        <v>Model S 75D</v>
      </c>
      <c r="C1233">
        <f ca="1">IFERROR(__xludf.DUMMYFUNCTION("""COMPUTED_VALUE"""),386)</f>
        <v>386</v>
      </c>
      <c r="D1233">
        <f ca="1">IFERROR(__xludf.DUMMYFUNCTION("""COMPUTED_VALUE"""),18446)</f>
        <v>18446</v>
      </c>
      <c r="E1233">
        <f ca="1">IFERROR(__xludf.DUMMYFUNCTION("""COMPUTED_VALUE"""),374)</f>
        <v>374</v>
      </c>
      <c r="F1233">
        <v>384</v>
      </c>
      <c r="G1233">
        <v>0.97395833333333337</v>
      </c>
      <c r="H1233">
        <v>11462</v>
      </c>
      <c r="I1233">
        <v>18446</v>
      </c>
      <c r="J1233">
        <v>11462</v>
      </c>
      <c r="K1233">
        <v>0.98766552057474288</v>
      </c>
      <c r="L1233">
        <f t="shared" ca="1" si="121"/>
        <v>232.392754</v>
      </c>
      <c r="M1233">
        <f t="shared" si="121"/>
        <v>238.60646400000002</v>
      </c>
      <c r="N1233">
        <v>11462</v>
      </c>
      <c r="O1233">
        <f t="shared" ca="1" si="119"/>
        <v>0.97395833333333326</v>
      </c>
    </row>
    <row r="1234" spans="1:15" x14ac:dyDescent="0.2">
      <c r="A1234" t="str">
        <f ca="1">IFERROR(__xludf.DUMMYFUNCTION("""COMPUTED_VALUE"""),"km")</f>
        <v>km</v>
      </c>
      <c r="B1234" t="str">
        <f ca="1">IFERROR(__xludf.DUMMYFUNCTION("""COMPUTED_VALUE"""),"Model S 85D")</f>
        <v>Model S 85D</v>
      </c>
      <c r="C1234">
        <f ca="1">IFERROR(__xludf.DUMMYFUNCTION("""COMPUTED_VALUE"""),404)</f>
        <v>404</v>
      </c>
      <c r="D1234">
        <f ca="1">IFERROR(__xludf.DUMMYFUNCTION("""COMPUTED_VALUE"""),169000)</f>
        <v>169000</v>
      </c>
      <c r="E1234">
        <f ca="1">IFERROR(__xludf.DUMMYFUNCTION("""COMPUTED_VALUE"""),414)</f>
        <v>414</v>
      </c>
      <c r="F1234">
        <v>425</v>
      </c>
      <c r="G1234">
        <v>0.97411764705882353</v>
      </c>
      <c r="H1234">
        <v>105012</v>
      </c>
      <c r="I1234">
        <v>169000</v>
      </c>
      <c r="J1234">
        <v>105012</v>
      </c>
      <c r="K1234">
        <v>0.91145540137676306</v>
      </c>
      <c r="L1234">
        <f t="shared" ca="1" si="121"/>
        <v>257.24759399999999</v>
      </c>
      <c r="M1234">
        <f t="shared" si="121"/>
        <v>264.08267499999999</v>
      </c>
      <c r="N1234">
        <v>105012</v>
      </c>
      <c r="O1234">
        <f t="shared" ca="1" si="119"/>
        <v>0.97411764705882353</v>
      </c>
    </row>
    <row r="1235" spans="1:15" x14ac:dyDescent="0.2">
      <c r="A1235" t="str">
        <f ca="1">IFERROR(__xludf.DUMMYFUNCTION("""COMPUTED_VALUE"""),"km")</f>
        <v>km</v>
      </c>
      <c r="B1235" t="str">
        <f ca="1">IFERROR(__xludf.DUMMYFUNCTION("""COMPUTED_VALUE"""),"Model S 85D")</f>
        <v>Model S 85D</v>
      </c>
      <c r="D1235">
        <f ca="1">IFERROR(__xludf.DUMMYFUNCTION("""COMPUTED_VALUE"""),65739)</f>
        <v>65739</v>
      </c>
      <c r="E1235">
        <f ca="1">IFERROR(__xludf.DUMMYFUNCTION("""COMPUTED_VALUE"""),414)</f>
        <v>414</v>
      </c>
      <c r="F1235">
        <v>425</v>
      </c>
      <c r="G1235">
        <v>0.97411764705882353</v>
      </c>
      <c r="H1235">
        <v>40848</v>
      </c>
      <c r="I1235">
        <v>65739</v>
      </c>
      <c r="J1235">
        <v>40848</v>
      </c>
      <c r="K1235">
        <v>0.95891383917814366</v>
      </c>
      <c r="L1235">
        <f t="shared" ca="1" si="121"/>
        <v>257.24759399999999</v>
      </c>
      <c r="M1235">
        <f t="shared" si="121"/>
        <v>264.08267499999999</v>
      </c>
      <c r="N1235">
        <v>40848</v>
      </c>
      <c r="O1235">
        <f t="shared" ca="1" si="119"/>
        <v>0.97411764705882353</v>
      </c>
    </row>
    <row r="1236" spans="1:15" x14ac:dyDescent="0.2">
      <c r="A1236" t="str">
        <f ca="1">IFERROR(__xludf.DUMMYFUNCTION("""COMPUTED_VALUE"""),"km")</f>
        <v>km</v>
      </c>
      <c r="B1236" t="str">
        <f ca="1">IFERROR(__xludf.DUMMYFUNCTION("""COMPUTED_VALUE"""),"Model S 85D")</f>
        <v>Model S 85D</v>
      </c>
      <c r="D1236">
        <f ca="1">IFERROR(__xludf.DUMMYFUNCTION("""COMPUTED_VALUE"""),63010)</f>
        <v>63010</v>
      </c>
      <c r="E1236">
        <f ca="1">IFERROR(__xludf.DUMMYFUNCTION("""COMPUTED_VALUE"""),414)</f>
        <v>414</v>
      </c>
      <c r="F1236">
        <v>425</v>
      </c>
      <c r="G1236">
        <v>0.97411764705882353</v>
      </c>
      <c r="H1236">
        <v>39153</v>
      </c>
      <c r="I1236">
        <v>63010</v>
      </c>
      <c r="J1236">
        <v>39153</v>
      </c>
      <c r="K1236">
        <v>0.96045786996749138</v>
      </c>
      <c r="L1236">
        <f t="shared" ca="1" si="121"/>
        <v>257.24759399999999</v>
      </c>
      <c r="M1236">
        <f t="shared" si="121"/>
        <v>264.08267499999999</v>
      </c>
      <c r="N1236">
        <v>39153</v>
      </c>
      <c r="O1236">
        <f t="shared" ca="1" si="119"/>
        <v>0.97411764705882353</v>
      </c>
    </row>
    <row r="1237" spans="1:15" x14ac:dyDescent="0.2">
      <c r="A1237" t="str">
        <f ca="1">IFERROR(__xludf.DUMMYFUNCTION("""COMPUTED_VALUE"""),"km")</f>
        <v>km</v>
      </c>
      <c r="B1237" t="str">
        <f ca="1">IFERROR(__xludf.DUMMYFUNCTION("""COMPUTED_VALUE"""),"Model S 85D")</f>
        <v>Model S 85D</v>
      </c>
      <c r="D1237">
        <f ca="1">IFERROR(__xludf.DUMMYFUNCTION("""COMPUTED_VALUE"""),20800)</f>
        <v>20800</v>
      </c>
      <c r="E1237">
        <f ca="1">IFERROR(__xludf.DUMMYFUNCTION("""COMPUTED_VALUE"""),414)</f>
        <v>414</v>
      </c>
      <c r="F1237">
        <v>425</v>
      </c>
      <c r="G1237">
        <v>0.97411764705882353</v>
      </c>
      <c r="H1237">
        <v>12925</v>
      </c>
      <c r="I1237">
        <v>20800</v>
      </c>
      <c r="J1237">
        <v>12925</v>
      </c>
      <c r="K1237">
        <v>0.986135913449385</v>
      </c>
      <c r="L1237">
        <f t="shared" ca="1" si="121"/>
        <v>257.24759399999999</v>
      </c>
      <c r="M1237">
        <f t="shared" si="121"/>
        <v>264.08267499999999</v>
      </c>
      <c r="N1237">
        <v>12925</v>
      </c>
      <c r="O1237">
        <f t="shared" ca="1" si="119"/>
        <v>0.97411764705882353</v>
      </c>
    </row>
    <row r="1238" spans="1:15" x14ac:dyDescent="0.2">
      <c r="A1238" t="str">
        <f ca="1">IFERROR(__xludf.DUMMYFUNCTION("""COMPUTED_VALUE"""),"mi")</f>
        <v>mi</v>
      </c>
      <c r="B1238" t="str">
        <f ca="1">IFERROR(__xludf.DUMMYFUNCTION("""COMPUTED_VALUE"""),"Model 3 P")</f>
        <v>Model 3 P</v>
      </c>
      <c r="C1238">
        <f ca="1">IFERROR(__xludf.DUMMYFUNCTION("""COMPUTED_VALUE"""),311)</f>
        <v>311</v>
      </c>
      <c r="D1238">
        <f ca="1">IFERROR(__xludf.DUMMYFUNCTION("""COMPUTED_VALUE"""),8325)</f>
        <v>8325</v>
      </c>
      <c r="E1238">
        <f ca="1">IFERROR(__xludf.DUMMYFUNCTION("""COMPUTED_VALUE"""),302.04)</f>
        <v>302.04000000000002</v>
      </c>
      <c r="F1238">
        <v>310</v>
      </c>
      <c r="G1238">
        <v>0.97432258064516131</v>
      </c>
      <c r="H1238">
        <v>8325</v>
      </c>
      <c r="I1238">
        <v>13398</v>
      </c>
      <c r="J1238">
        <v>8325</v>
      </c>
      <c r="K1238">
        <v>0.99097976954018274</v>
      </c>
      <c r="L1238">
        <f ca="1">IFERROR(__xludf.DUMMYFUNCTION("""COMPUTED_VALUE"""),302.04)</f>
        <v>302.04000000000002</v>
      </c>
      <c r="M1238">
        <v>310</v>
      </c>
      <c r="N1238">
        <v>8325</v>
      </c>
      <c r="O1238">
        <f t="shared" ca="1" si="119"/>
        <v>0.97432258064516131</v>
      </c>
    </row>
    <row r="1239" spans="1:15" x14ac:dyDescent="0.2">
      <c r="A1239" t="str">
        <f ca="1">IFERROR(__xludf.DUMMYFUNCTION("""COMPUTED_VALUE"""),"km")</f>
        <v>km</v>
      </c>
      <c r="B1239" t="str">
        <f ca="1">IFERROR(__xludf.DUMMYFUNCTION("""COMPUTED_VALUE"""),"Model S 85")</f>
        <v>Model S 85</v>
      </c>
      <c r="C1239">
        <f ca="1">IFERROR(__xludf.DUMMYFUNCTION("""COMPUTED_VALUE"""),398)</f>
        <v>398</v>
      </c>
      <c r="D1239">
        <f ca="1">IFERROR(__xludf.DUMMYFUNCTION("""COMPUTED_VALUE"""),62010)</f>
        <v>62010</v>
      </c>
      <c r="E1239">
        <f ca="1">IFERROR(__xludf.DUMMYFUNCTION("""COMPUTED_VALUE"""),385)</f>
        <v>385</v>
      </c>
      <c r="F1239">
        <v>395</v>
      </c>
      <c r="G1239">
        <v>0.97468354430379744</v>
      </c>
      <c r="H1239">
        <v>38531</v>
      </c>
      <c r="I1239">
        <v>62010</v>
      </c>
      <c r="J1239">
        <v>38531</v>
      </c>
      <c r="K1239">
        <v>0.96102724261210803</v>
      </c>
      <c r="L1239">
        <f t="shared" ref="L1239:L1276" ca="1" si="122">E1239*0.621371</f>
        <v>239.227835</v>
      </c>
      <c r="M1239">
        <f t="shared" ref="M1239:M1276" si="123">F1239*0.621371</f>
        <v>245.44154499999999</v>
      </c>
      <c r="N1239">
        <v>38531</v>
      </c>
      <c r="O1239">
        <f t="shared" ca="1" si="119"/>
        <v>0.97468354430379756</v>
      </c>
    </row>
    <row r="1240" spans="1:15" x14ac:dyDescent="0.2">
      <c r="A1240" t="str">
        <f ca="1">IFERROR(__xludf.DUMMYFUNCTION("""COMPUTED_VALUE"""),"km")</f>
        <v>km</v>
      </c>
      <c r="B1240" t="str">
        <f ca="1">IFERROR(__xludf.DUMMYFUNCTION("""COMPUTED_VALUE"""),"Model S 85")</f>
        <v>Model S 85</v>
      </c>
      <c r="D1240">
        <f ca="1">IFERROR(__xludf.DUMMYFUNCTION("""COMPUTED_VALUE"""),38500)</f>
        <v>38500</v>
      </c>
      <c r="E1240">
        <f ca="1">IFERROR(__xludf.DUMMYFUNCTION("""COMPUTED_VALUE"""),385)</f>
        <v>385</v>
      </c>
      <c r="F1240">
        <v>395</v>
      </c>
      <c r="G1240">
        <v>0.97468354430379744</v>
      </c>
      <c r="H1240">
        <v>23923</v>
      </c>
      <c r="I1240">
        <v>38500</v>
      </c>
      <c r="J1240">
        <v>23923</v>
      </c>
      <c r="K1240">
        <v>0.9749617084871085</v>
      </c>
      <c r="L1240">
        <f t="shared" ca="1" si="122"/>
        <v>239.227835</v>
      </c>
      <c r="M1240">
        <f t="shared" si="123"/>
        <v>245.44154499999999</v>
      </c>
      <c r="N1240">
        <v>23923</v>
      </c>
      <c r="O1240">
        <f t="shared" ca="1" si="119"/>
        <v>0.97468354430379756</v>
      </c>
    </row>
    <row r="1241" spans="1:15" x14ac:dyDescent="0.2">
      <c r="A1241" t="str">
        <f ca="1">IFERROR(__xludf.DUMMYFUNCTION("""COMPUTED_VALUE"""),"km")</f>
        <v>km</v>
      </c>
      <c r="B1241" t="str">
        <f ca="1">IFERROR(__xludf.DUMMYFUNCTION("""COMPUTED_VALUE"""),"Model S 85")</f>
        <v>Model S 85</v>
      </c>
      <c r="D1241">
        <f ca="1">IFERROR(__xludf.DUMMYFUNCTION("""COMPUTED_VALUE"""),113418)</f>
        <v>113418</v>
      </c>
      <c r="E1241">
        <f ca="1">IFERROR(__xludf.DUMMYFUNCTION("""COMPUTED_VALUE"""),385)</f>
        <v>385</v>
      </c>
      <c r="F1241">
        <v>395</v>
      </c>
      <c r="G1241">
        <v>0.97468354430379744</v>
      </c>
      <c r="H1241">
        <v>70475</v>
      </c>
      <c r="I1241">
        <v>113418</v>
      </c>
      <c r="J1241">
        <v>70475</v>
      </c>
      <c r="K1241">
        <v>0.93429479229260681</v>
      </c>
      <c r="L1241">
        <f t="shared" ca="1" si="122"/>
        <v>239.227835</v>
      </c>
      <c r="M1241">
        <f t="shared" si="123"/>
        <v>245.44154499999999</v>
      </c>
      <c r="N1241">
        <v>70475</v>
      </c>
      <c r="O1241">
        <f t="shared" ca="1" si="119"/>
        <v>0.97468354430379756</v>
      </c>
    </row>
    <row r="1242" spans="1:15" x14ac:dyDescent="0.2">
      <c r="A1242" t="str">
        <f ca="1">IFERROR(__xludf.DUMMYFUNCTION("""COMPUTED_VALUE"""),"km")</f>
        <v>km</v>
      </c>
      <c r="B1242" t="str">
        <f ca="1">IFERROR(__xludf.DUMMYFUNCTION("""COMPUTED_VALUE"""),"Model S 85")</f>
        <v>Model S 85</v>
      </c>
      <c r="D1242">
        <f ca="1">IFERROR(__xludf.DUMMYFUNCTION("""COMPUTED_VALUE"""),44471)</f>
        <v>44471</v>
      </c>
      <c r="E1242">
        <f ca="1">IFERROR(__xludf.DUMMYFUNCTION("""COMPUTED_VALUE"""),385)</f>
        <v>385</v>
      </c>
      <c r="F1242">
        <v>395</v>
      </c>
      <c r="G1242">
        <v>0.97468354430379744</v>
      </c>
      <c r="H1242">
        <v>27633</v>
      </c>
      <c r="I1242">
        <v>44471</v>
      </c>
      <c r="J1242">
        <v>27633</v>
      </c>
      <c r="K1242">
        <v>0.97132368326834606</v>
      </c>
      <c r="L1242">
        <f t="shared" ca="1" si="122"/>
        <v>239.227835</v>
      </c>
      <c r="M1242">
        <f t="shared" si="123"/>
        <v>245.44154499999999</v>
      </c>
      <c r="N1242">
        <v>27633</v>
      </c>
      <c r="O1242">
        <f t="shared" ca="1" si="119"/>
        <v>0.97468354430379756</v>
      </c>
    </row>
    <row r="1243" spans="1:15" x14ac:dyDescent="0.2">
      <c r="A1243" t="str">
        <f ca="1">IFERROR(__xludf.DUMMYFUNCTION("""COMPUTED_VALUE"""),"km")</f>
        <v>km</v>
      </c>
      <c r="B1243" t="str">
        <f ca="1">IFERROR(__xludf.DUMMYFUNCTION("""COMPUTED_VALUE"""),"Model S 85")</f>
        <v>Model S 85</v>
      </c>
      <c r="D1243">
        <f ca="1">IFERROR(__xludf.DUMMYFUNCTION("""COMPUTED_VALUE"""),50878)</f>
        <v>50878</v>
      </c>
      <c r="E1243">
        <f ca="1">IFERROR(__xludf.DUMMYFUNCTION("""COMPUTED_VALUE"""),385)</f>
        <v>385</v>
      </c>
      <c r="F1243">
        <v>395</v>
      </c>
      <c r="G1243">
        <v>0.97468354430379744</v>
      </c>
      <c r="H1243">
        <v>31614</v>
      </c>
      <c r="I1243">
        <v>50878</v>
      </c>
      <c r="J1243">
        <v>31614</v>
      </c>
      <c r="K1243">
        <v>0.96749465820200431</v>
      </c>
      <c r="L1243">
        <f t="shared" ca="1" si="122"/>
        <v>239.227835</v>
      </c>
      <c r="M1243">
        <f t="shared" si="123"/>
        <v>245.44154499999999</v>
      </c>
      <c r="N1243">
        <v>31614</v>
      </c>
      <c r="O1243">
        <f t="shared" ca="1" si="119"/>
        <v>0.97468354430379756</v>
      </c>
    </row>
    <row r="1244" spans="1:15" x14ac:dyDescent="0.2">
      <c r="A1244" t="str">
        <f ca="1">IFERROR(__xludf.DUMMYFUNCTION("""COMPUTED_VALUE"""),"km")</f>
        <v>km</v>
      </c>
      <c r="B1244" t="str">
        <f ca="1">IFERROR(__xludf.DUMMYFUNCTION("""COMPUTED_VALUE"""),"Model S 85")</f>
        <v>Model S 85</v>
      </c>
      <c r="D1244">
        <f ca="1">IFERROR(__xludf.DUMMYFUNCTION("""COMPUTED_VALUE"""),45533)</f>
        <v>45533</v>
      </c>
      <c r="E1244">
        <f ca="1">IFERROR(__xludf.DUMMYFUNCTION("""COMPUTED_VALUE"""),385)</f>
        <v>385</v>
      </c>
      <c r="F1244">
        <v>395</v>
      </c>
      <c r="G1244">
        <v>0.97468354430379744</v>
      </c>
      <c r="H1244">
        <v>28293</v>
      </c>
      <c r="I1244">
        <v>45533</v>
      </c>
      <c r="J1244">
        <v>28293</v>
      </c>
      <c r="K1244">
        <v>0.97068364143455499</v>
      </c>
      <c r="L1244">
        <f t="shared" ca="1" si="122"/>
        <v>239.227835</v>
      </c>
      <c r="M1244">
        <f t="shared" si="123"/>
        <v>245.44154499999999</v>
      </c>
      <c r="N1244">
        <v>28293</v>
      </c>
      <c r="O1244">
        <f t="shared" ca="1" si="119"/>
        <v>0.97468354430379756</v>
      </c>
    </row>
    <row r="1245" spans="1:15" x14ac:dyDescent="0.2">
      <c r="A1245" t="str">
        <f ca="1">IFERROR(__xludf.DUMMYFUNCTION("""COMPUTED_VALUE"""),"km")</f>
        <v>km</v>
      </c>
      <c r="B1245" t="str">
        <f ca="1">IFERROR(__xludf.DUMMYFUNCTION("""COMPUTED_VALUE"""),"Model S 85")</f>
        <v>Model S 85</v>
      </c>
      <c r="C1245">
        <f ca="1">IFERROR(__xludf.DUMMYFUNCTION("""COMPUTED_VALUE"""),398)</f>
        <v>398</v>
      </c>
      <c r="D1245">
        <f ca="1">IFERROR(__xludf.DUMMYFUNCTION("""COMPUTED_VALUE"""),41500)</f>
        <v>41500</v>
      </c>
      <c r="E1245">
        <f ca="1">IFERROR(__xludf.DUMMYFUNCTION("""COMPUTED_VALUE"""),385)</f>
        <v>385</v>
      </c>
      <c r="F1245">
        <v>395</v>
      </c>
      <c r="G1245">
        <v>0.97468354430379744</v>
      </c>
      <c r="H1245">
        <v>25787</v>
      </c>
      <c r="I1245">
        <v>41500</v>
      </c>
      <c r="J1245">
        <v>25787</v>
      </c>
      <c r="K1245">
        <v>0.97312550159651856</v>
      </c>
      <c r="L1245">
        <f t="shared" ca="1" si="122"/>
        <v>239.227835</v>
      </c>
      <c r="M1245">
        <f t="shared" si="123"/>
        <v>245.44154499999999</v>
      </c>
      <c r="N1245">
        <v>25787</v>
      </c>
      <c r="O1245">
        <f t="shared" ca="1" si="119"/>
        <v>0.97468354430379756</v>
      </c>
    </row>
    <row r="1246" spans="1:15" x14ac:dyDescent="0.2">
      <c r="A1246" t="str">
        <f ca="1">IFERROR(__xludf.DUMMYFUNCTION("""COMPUTED_VALUE"""),"km")</f>
        <v>km</v>
      </c>
      <c r="B1246" t="str">
        <f ca="1">IFERROR(__xludf.DUMMYFUNCTION("""COMPUTED_VALUE"""),"Model S 85")</f>
        <v>Model S 85</v>
      </c>
      <c r="D1246">
        <f ca="1">IFERROR(__xludf.DUMMYFUNCTION("""COMPUTED_VALUE"""),27594)</f>
        <v>27594</v>
      </c>
      <c r="E1246">
        <f ca="1">IFERROR(__xludf.DUMMYFUNCTION("""COMPUTED_VALUE"""),385)</f>
        <v>385</v>
      </c>
      <c r="F1246">
        <v>395</v>
      </c>
      <c r="G1246">
        <v>0.97468354430379744</v>
      </c>
      <c r="H1246">
        <v>17146</v>
      </c>
      <c r="I1246">
        <v>27594</v>
      </c>
      <c r="J1246">
        <v>17146</v>
      </c>
      <c r="K1246">
        <v>0.98177827161202624</v>
      </c>
      <c r="L1246">
        <f t="shared" ca="1" si="122"/>
        <v>239.227835</v>
      </c>
      <c r="M1246">
        <f t="shared" si="123"/>
        <v>245.44154499999999</v>
      </c>
      <c r="N1246">
        <v>17146</v>
      </c>
      <c r="O1246">
        <f t="shared" ca="1" si="119"/>
        <v>0.97468354430379756</v>
      </c>
    </row>
    <row r="1247" spans="1:15" x14ac:dyDescent="0.2">
      <c r="A1247" t="str">
        <f ca="1">IFERROR(__xludf.DUMMYFUNCTION("""COMPUTED_VALUE"""),"km")</f>
        <v>km</v>
      </c>
      <c r="B1247" t="str">
        <f ca="1">IFERROR(__xludf.DUMMYFUNCTION("""COMPUTED_VALUE"""),"Model S P85")</f>
        <v>Model S P85</v>
      </c>
      <c r="D1247">
        <f ca="1">IFERROR(__xludf.DUMMYFUNCTION("""COMPUTED_VALUE"""),90000)</f>
        <v>90000</v>
      </c>
      <c r="E1247">
        <f ca="1">IFERROR(__xludf.DUMMYFUNCTION("""COMPUTED_VALUE"""),385)</f>
        <v>385</v>
      </c>
      <c r="F1247">
        <v>395</v>
      </c>
      <c r="G1247">
        <v>0.97468354430379744</v>
      </c>
      <c r="H1247">
        <v>55923</v>
      </c>
      <c r="I1247">
        <v>90000</v>
      </c>
      <c r="J1247">
        <v>55923</v>
      </c>
      <c r="K1247">
        <v>0.94582377496638503</v>
      </c>
      <c r="L1247">
        <f t="shared" ca="1" si="122"/>
        <v>239.227835</v>
      </c>
      <c r="M1247">
        <f t="shared" si="123"/>
        <v>245.44154499999999</v>
      </c>
      <c r="N1247">
        <v>55923</v>
      </c>
      <c r="O1247">
        <f t="shared" ca="1" si="119"/>
        <v>0.97468354430379756</v>
      </c>
    </row>
    <row r="1248" spans="1:15" x14ac:dyDescent="0.2">
      <c r="A1248" t="str">
        <f ca="1">IFERROR(__xludf.DUMMYFUNCTION("""COMPUTED_VALUE"""),"km")</f>
        <v>km</v>
      </c>
      <c r="B1248" t="str">
        <f ca="1">IFERROR(__xludf.DUMMYFUNCTION("""COMPUTED_VALUE"""),"Model S 85")</f>
        <v>Model S 85</v>
      </c>
      <c r="D1248">
        <f ca="1">IFERROR(__xludf.DUMMYFUNCTION("""COMPUTED_VALUE"""),16840)</f>
        <v>16840</v>
      </c>
      <c r="E1248">
        <f ca="1">IFERROR(__xludf.DUMMYFUNCTION("""COMPUTED_VALUE"""),385)</f>
        <v>385</v>
      </c>
      <c r="F1248">
        <v>395</v>
      </c>
      <c r="G1248">
        <v>0.97468354430379744</v>
      </c>
      <c r="H1248">
        <v>10464</v>
      </c>
      <c r="I1248">
        <v>16840</v>
      </c>
      <c r="J1248">
        <v>10464</v>
      </c>
      <c r="K1248">
        <v>0.98871489686960223</v>
      </c>
      <c r="L1248">
        <f t="shared" ca="1" si="122"/>
        <v>239.227835</v>
      </c>
      <c r="M1248">
        <f t="shared" si="123"/>
        <v>245.44154499999999</v>
      </c>
      <c r="N1248">
        <v>10464</v>
      </c>
      <c r="O1248">
        <f t="shared" ca="1" si="119"/>
        <v>0.97468354430379756</v>
      </c>
    </row>
    <row r="1249" spans="1:15" x14ac:dyDescent="0.2">
      <c r="A1249" t="str">
        <f ca="1">IFERROR(__xludf.DUMMYFUNCTION("""COMPUTED_VALUE"""),"km")</f>
        <v>km</v>
      </c>
      <c r="B1249" t="str">
        <f ca="1">IFERROR(__xludf.DUMMYFUNCTION("""COMPUTED_VALUE"""),"Model S 85")</f>
        <v>Model S 85</v>
      </c>
      <c r="C1249">
        <f ca="1">IFERROR(__xludf.DUMMYFUNCTION("""COMPUTED_VALUE"""),396)</f>
        <v>396</v>
      </c>
      <c r="D1249">
        <f ca="1">IFERROR(__xludf.DUMMYFUNCTION("""COMPUTED_VALUE"""),48500)</f>
        <v>48500</v>
      </c>
      <c r="E1249">
        <f ca="1">IFERROR(__xludf.DUMMYFUNCTION("""COMPUTED_VALUE"""),385)</f>
        <v>385</v>
      </c>
      <c r="F1249">
        <v>395</v>
      </c>
      <c r="G1249">
        <v>0.97468354430379744</v>
      </c>
      <c r="H1249">
        <v>30137</v>
      </c>
      <c r="I1249">
        <v>48500</v>
      </c>
      <c r="J1249">
        <v>30137</v>
      </c>
      <c r="K1249">
        <v>0.96890677360051647</v>
      </c>
      <c r="L1249">
        <f t="shared" ca="1" si="122"/>
        <v>239.227835</v>
      </c>
      <c r="M1249">
        <f t="shared" si="123"/>
        <v>245.44154499999999</v>
      </c>
      <c r="N1249">
        <v>30137</v>
      </c>
      <c r="O1249">
        <f t="shared" ca="1" si="119"/>
        <v>0.97468354430379756</v>
      </c>
    </row>
    <row r="1250" spans="1:15" x14ac:dyDescent="0.2">
      <c r="A1250" t="str">
        <f ca="1">IFERROR(__xludf.DUMMYFUNCTION("""COMPUTED_VALUE"""),"km")</f>
        <v>km</v>
      </c>
      <c r="B1250" t="str">
        <f ca="1">IFERROR(__xludf.DUMMYFUNCTION("""COMPUTED_VALUE"""),"Model S P85+")</f>
        <v>Model S P85+</v>
      </c>
      <c r="D1250">
        <f ca="1">IFERROR(__xludf.DUMMYFUNCTION("""COMPUTED_VALUE"""),31215)</f>
        <v>31215</v>
      </c>
      <c r="E1250">
        <f ca="1">IFERROR(__xludf.DUMMYFUNCTION("""COMPUTED_VALUE"""),385)</f>
        <v>385</v>
      </c>
      <c r="F1250">
        <v>395</v>
      </c>
      <c r="G1250">
        <v>0.97468354430379744</v>
      </c>
      <c r="H1250">
        <v>19396</v>
      </c>
      <c r="I1250">
        <v>31215</v>
      </c>
      <c r="J1250">
        <v>19396</v>
      </c>
      <c r="K1250">
        <v>0.97949055421850106</v>
      </c>
      <c r="L1250">
        <f t="shared" ca="1" si="122"/>
        <v>239.227835</v>
      </c>
      <c r="M1250">
        <f t="shared" si="123"/>
        <v>245.44154499999999</v>
      </c>
      <c r="N1250">
        <v>19396</v>
      </c>
      <c r="O1250">
        <f t="shared" ca="1" si="119"/>
        <v>0.97468354430379756</v>
      </c>
    </row>
    <row r="1251" spans="1:15" x14ac:dyDescent="0.2">
      <c r="A1251" t="str">
        <f ca="1">IFERROR(__xludf.DUMMYFUNCTION("""COMPUTED_VALUE"""),"km")</f>
        <v>km</v>
      </c>
      <c r="B1251" t="str">
        <f ca="1">IFERROR(__xludf.DUMMYFUNCTION("""COMPUTED_VALUE"""),"Unspecified 85 kWh")</f>
        <v>Unspecified 85 kWh</v>
      </c>
      <c r="D1251">
        <f ca="1">IFERROR(__xludf.DUMMYFUNCTION("""COMPUTED_VALUE"""),64000)</f>
        <v>64000</v>
      </c>
      <c r="E1251">
        <f ca="1">IFERROR(__xludf.DUMMYFUNCTION("""COMPUTED_VALUE"""),385)</f>
        <v>385</v>
      </c>
      <c r="F1251">
        <v>395</v>
      </c>
      <c r="G1251">
        <v>0.97468354430379744</v>
      </c>
      <c r="H1251">
        <v>39768</v>
      </c>
      <c r="I1251">
        <v>64000</v>
      </c>
      <c r="J1251">
        <v>39768</v>
      </c>
      <c r="K1251">
        <v>0.95989608453925312</v>
      </c>
      <c r="L1251">
        <f t="shared" ca="1" si="122"/>
        <v>239.227835</v>
      </c>
      <c r="M1251">
        <f t="shared" si="123"/>
        <v>245.44154499999999</v>
      </c>
      <c r="N1251">
        <v>39768</v>
      </c>
      <c r="O1251">
        <f t="shared" ca="1" si="119"/>
        <v>0.97468354430379756</v>
      </c>
    </row>
    <row r="1252" spans="1:15" x14ac:dyDescent="0.2">
      <c r="A1252" t="str">
        <f ca="1">IFERROR(__xludf.DUMMYFUNCTION("""COMPUTED_VALUE"""),"km")</f>
        <v>km</v>
      </c>
      <c r="B1252" t="str">
        <f ca="1">IFERROR(__xludf.DUMMYFUNCTION("""COMPUTED_VALUE"""),"Model S 85")</f>
        <v>Model S 85</v>
      </c>
      <c r="D1252">
        <f ca="1">IFERROR(__xludf.DUMMYFUNCTION("""COMPUTED_VALUE"""),38867)</f>
        <v>38867</v>
      </c>
      <c r="E1252">
        <f ca="1">IFERROR(__xludf.DUMMYFUNCTION("""COMPUTED_VALUE"""),385)</f>
        <v>385</v>
      </c>
      <c r="F1252">
        <v>395</v>
      </c>
      <c r="G1252">
        <v>0.97468354430379744</v>
      </c>
      <c r="H1252">
        <v>24151</v>
      </c>
      <c r="I1252">
        <v>38867</v>
      </c>
      <c r="J1252">
        <v>24151</v>
      </c>
      <c r="K1252">
        <v>0.97473617477518926</v>
      </c>
      <c r="L1252">
        <f t="shared" ca="1" si="122"/>
        <v>239.227835</v>
      </c>
      <c r="M1252">
        <f t="shared" si="123"/>
        <v>245.44154499999999</v>
      </c>
      <c r="N1252">
        <v>24151</v>
      </c>
      <c r="O1252">
        <f t="shared" ca="1" si="119"/>
        <v>0.97468354430379756</v>
      </c>
    </row>
    <row r="1253" spans="1:15" x14ac:dyDescent="0.2">
      <c r="A1253" t="str">
        <f ca="1">IFERROR(__xludf.DUMMYFUNCTION("""COMPUTED_VALUE"""),"km")</f>
        <v>km</v>
      </c>
      <c r="B1253" t="str">
        <f ca="1">IFERROR(__xludf.DUMMYFUNCTION("""COMPUTED_VALUE"""),"Model S 85")</f>
        <v>Model S 85</v>
      </c>
      <c r="D1253">
        <f ca="1">IFERROR(__xludf.DUMMYFUNCTION("""COMPUTED_VALUE"""),45650)</f>
        <v>45650</v>
      </c>
      <c r="E1253">
        <f ca="1">IFERROR(__xludf.DUMMYFUNCTION("""COMPUTED_VALUE"""),385)</f>
        <v>385</v>
      </c>
      <c r="F1253">
        <v>395</v>
      </c>
      <c r="G1253">
        <v>0.97468354430379744</v>
      </c>
      <c r="H1253">
        <v>28366</v>
      </c>
      <c r="I1253">
        <v>45650</v>
      </c>
      <c r="J1253">
        <v>28366</v>
      </c>
      <c r="K1253">
        <v>0.97061325827934786</v>
      </c>
      <c r="L1253">
        <f t="shared" ca="1" si="122"/>
        <v>239.227835</v>
      </c>
      <c r="M1253">
        <f t="shared" si="123"/>
        <v>245.44154499999999</v>
      </c>
      <c r="N1253">
        <v>28366</v>
      </c>
      <c r="O1253">
        <f t="shared" ca="1" si="119"/>
        <v>0.97468354430379756</v>
      </c>
    </row>
    <row r="1254" spans="1:15" x14ac:dyDescent="0.2">
      <c r="A1254" t="str">
        <f ca="1">IFERROR(__xludf.DUMMYFUNCTION("""COMPUTED_VALUE"""),"km")</f>
        <v>km</v>
      </c>
      <c r="B1254" t="str">
        <f ca="1">IFERROR(__xludf.DUMMYFUNCTION("""COMPUTED_VALUE"""),"Model S P85+")</f>
        <v>Model S P85+</v>
      </c>
      <c r="D1254">
        <f ca="1">IFERROR(__xludf.DUMMYFUNCTION("""COMPUTED_VALUE"""),39600)</f>
        <v>39600</v>
      </c>
      <c r="E1254">
        <f ca="1">IFERROR(__xludf.DUMMYFUNCTION("""COMPUTED_VALUE"""),385)</f>
        <v>385</v>
      </c>
      <c r="F1254">
        <v>395</v>
      </c>
      <c r="G1254">
        <v>0.97468354430379744</v>
      </c>
      <c r="H1254">
        <v>24606</v>
      </c>
      <c r="I1254">
        <v>39600</v>
      </c>
      <c r="J1254">
        <v>24606</v>
      </c>
      <c r="K1254">
        <v>0.97428647598474538</v>
      </c>
      <c r="L1254">
        <f t="shared" ca="1" si="122"/>
        <v>239.227835</v>
      </c>
      <c r="M1254">
        <f t="shared" si="123"/>
        <v>245.44154499999999</v>
      </c>
      <c r="N1254">
        <v>24606</v>
      </c>
      <c r="O1254">
        <f t="shared" ca="1" si="119"/>
        <v>0.97468354430379756</v>
      </c>
    </row>
    <row r="1255" spans="1:15" x14ac:dyDescent="0.2">
      <c r="A1255" t="str">
        <f ca="1">IFERROR(__xludf.DUMMYFUNCTION("""COMPUTED_VALUE"""),"km")</f>
        <v>km</v>
      </c>
      <c r="B1255" t="str">
        <f ca="1">IFERROR(__xludf.DUMMYFUNCTION("""COMPUTED_VALUE"""),"Model S 85")</f>
        <v>Model S 85</v>
      </c>
      <c r="D1255">
        <f ca="1">IFERROR(__xludf.DUMMYFUNCTION("""COMPUTED_VALUE"""),40670)</f>
        <v>40670</v>
      </c>
      <c r="E1255">
        <f ca="1">IFERROR(__xludf.DUMMYFUNCTION("""COMPUTED_VALUE"""),385)</f>
        <v>385</v>
      </c>
      <c r="F1255">
        <v>395</v>
      </c>
      <c r="G1255">
        <v>0.97468354430379744</v>
      </c>
      <c r="H1255">
        <v>25271</v>
      </c>
      <c r="I1255">
        <v>40670</v>
      </c>
      <c r="J1255">
        <v>25271</v>
      </c>
      <c r="K1255">
        <v>0.97363183197685554</v>
      </c>
      <c r="L1255">
        <f t="shared" ca="1" si="122"/>
        <v>239.227835</v>
      </c>
      <c r="M1255">
        <f t="shared" si="123"/>
        <v>245.44154499999999</v>
      </c>
      <c r="N1255">
        <v>25271</v>
      </c>
      <c r="O1255">
        <f t="shared" ca="1" si="119"/>
        <v>0.97468354430379756</v>
      </c>
    </row>
    <row r="1256" spans="1:15" x14ac:dyDescent="0.2">
      <c r="A1256" t="str">
        <f ca="1">IFERROR(__xludf.DUMMYFUNCTION("""COMPUTED_VALUE"""),"km")</f>
        <v>km</v>
      </c>
      <c r="B1256" t="str">
        <f ca="1">IFERROR(__xludf.DUMMYFUNCTION("""COMPUTED_VALUE"""),"Unspecified 85 kWh")</f>
        <v>Unspecified 85 kWh</v>
      </c>
      <c r="D1256">
        <f ca="1">IFERROR(__xludf.DUMMYFUNCTION("""COMPUTED_VALUE"""),21600)</f>
        <v>21600</v>
      </c>
      <c r="E1256">
        <f ca="1">IFERROR(__xludf.DUMMYFUNCTION("""COMPUTED_VALUE"""),385)</f>
        <v>385</v>
      </c>
      <c r="F1256">
        <v>395</v>
      </c>
      <c r="G1256">
        <v>0.97468354430379744</v>
      </c>
      <c r="H1256">
        <v>13422</v>
      </c>
      <c r="I1256">
        <v>21600</v>
      </c>
      <c r="J1256">
        <v>13422</v>
      </c>
      <c r="K1256">
        <v>0.98561839120846473</v>
      </c>
      <c r="L1256">
        <f t="shared" ca="1" si="122"/>
        <v>239.227835</v>
      </c>
      <c r="M1256">
        <f t="shared" si="123"/>
        <v>245.44154499999999</v>
      </c>
      <c r="N1256">
        <v>13422</v>
      </c>
      <c r="O1256">
        <f t="shared" ca="1" si="119"/>
        <v>0.97468354430379756</v>
      </c>
    </row>
    <row r="1257" spans="1:15" x14ac:dyDescent="0.2">
      <c r="A1257" t="str">
        <f ca="1">IFERROR(__xludf.DUMMYFUNCTION("""COMPUTED_VALUE"""),"km")</f>
        <v>km</v>
      </c>
      <c r="B1257" t="str">
        <f ca="1">IFERROR(__xludf.DUMMYFUNCTION("""COMPUTED_VALUE"""),"Model S P85")</f>
        <v>Model S P85</v>
      </c>
      <c r="D1257">
        <f ca="1">IFERROR(__xludf.DUMMYFUNCTION("""COMPUTED_VALUE"""),6548)</f>
        <v>6548</v>
      </c>
      <c r="E1257">
        <f ca="1">IFERROR(__xludf.DUMMYFUNCTION("""COMPUTED_VALUE"""),385)</f>
        <v>385</v>
      </c>
      <c r="F1257">
        <v>395</v>
      </c>
      <c r="G1257">
        <v>0.97468354430379744</v>
      </c>
      <c r="H1257">
        <v>4069</v>
      </c>
      <c r="I1257">
        <v>6548</v>
      </c>
      <c r="J1257">
        <v>4069</v>
      </c>
      <c r="K1257">
        <v>0.99555110800896585</v>
      </c>
      <c r="L1257">
        <f t="shared" ca="1" si="122"/>
        <v>239.227835</v>
      </c>
      <c r="M1257">
        <f t="shared" si="123"/>
        <v>245.44154499999999</v>
      </c>
      <c r="N1257">
        <v>4069</v>
      </c>
      <c r="O1257">
        <f t="shared" ca="1" si="119"/>
        <v>0.97468354430379756</v>
      </c>
    </row>
    <row r="1258" spans="1:15" x14ac:dyDescent="0.2">
      <c r="A1258" t="str">
        <f ca="1">IFERROR(__xludf.DUMMYFUNCTION("""COMPUTED_VALUE"""),"km")</f>
        <v>km</v>
      </c>
      <c r="B1258" t="str">
        <f ca="1">IFERROR(__xludf.DUMMYFUNCTION("""COMPUTED_VALUE"""),"Unspecified 85 kWh")</f>
        <v>Unspecified 85 kWh</v>
      </c>
      <c r="D1258">
        <f ca="1">IFERROR(__xludf.DUMMYFUNCTION("""COMPUTED_VALUE"""),29481)</f>
        <v>29481</v>
      </c>
      <c r="E1258">
        <f ca="1">IFERROR(__xludf.DUMMYFUNCTION("""COMPUTED_VALUE"""),385)</f>
        <v>385</v>
      </c>
      <c r="F1258">
        <v>395</v>
      </c>
      <c r="G1258">
        <v>0.97468354430379744</v>
      </c>
      <c r="H1258">
        <v>18319</v>
      </c>
      <c r="I1258">
        <v>29481</v>
      </c>
      <c r="J1258">
        <v>18319</v>
      </c>
      <c r="K1258">
        <v>0.98058305366373522</v>
      </c>
      <c r="L1258">
        <f t="shared" ca="1" si="122"/>
        <v>239.227835</v>
      </c>
      <c r="M1258">
        <f t="shared" si="123"/>
        <v>245.44154499999999</v>
      </c>
      <c r="N1258">
        <v>18319</v>
      </c>
      <c r="O1258">
        <f t="shared" ca="1" si="119"/>
        <v>0.97468354430379756</v>
      </c>
    </row>
    <row r="1259" spans="1:15" x14ac:dyDescent="0.2">
      <c r="A1259" t="str">
        <f ca="1">IFERROR(__xludf.DUMMYFUNCTION("""COMPUTED_VALUE"""),"km")</f>
        <v>km</v>
      </c>
      <c r="B1259" t="str">
        <f ca="1">IFERROR(__xludf.DUMMYFUNCTION("""COMPUTED_VALUE"""),"Model S 85")</f>
        <v>Model S 85</v>
      </c>
      <c r="D1259">
        <f ca="1">IFERROR(__xludf.DUMMYFUNCTION("""COMPUTED_VALUE"""),39200)</f>
        <v>39200</v>
      </c>
      <c r="E1259">
        <f ca="1">IFERROR(__xludf.DUMMYFUNCTION("""COMPUTED_VALUE"""),385)</f>
        <v>385</v>
      </c>
      <c r="F1259">
        <v>395</v>
      </c>
      <c r="G1259">
        <v>0.97468354430379744</v>
      </c>
      <c r="H1259">
        <v>24358</v>
      </c>
      <c r="I1259">
        <v>39200</v>
      </c>
      <c r="J1259">
        <v>24358</v>
      </c>
      <c r="K1259">
        <v>0.97453175317071661</v>
      </c>
      <c r="L1259">
        <f t="shared" ca="1" si="122"/>
        <v>239.227835</v>
      </c>
      <c r="M1259">
        <f t="shared" si="123"/>
        <v>245.44154499999999</v>
      </c>
      <c r="N1259">
        <v>24358</v>
      </c>
      <c r="O1259">
        <f t="shared" ca="1" si="119"/>
        <v>0.97468354430379756</v>
      </c>
    </row>
    <row r="1260" spans="1:15" x14ac:dyDescent="0.2">
      <c r="A1260" t="str">
        <f ca="1">IFERROR(__xludf.DUMMYFUNCTION("""COMPUTED_VALUE"""),"km")</f>
        <v>km</v>
      </c>
      <c r="B1260" t="str">
        <f ca="1">IFERROR(__xludf.DUMMYFUNCTION("""COMPUTED_VALUE"""),"Model S P85")</f>
        <v>Model S P85</v>
      </c>
      <c r="D1260">
        <f ca="1">IFERROR(__xludf.DUMMYFUNCTION("""COMPUTED_VALUE"""),19800)</f>
        <v>19800</v>
      </c>
      <c r="E1260">
        <f ca="1">IFERROR(__xludf.DUMMYFUNCTION("""COMPUTED_VALUE"""),385)</f>
        <v>385</v>
      </c>
      <c r="F1260">
        <v>395</v>
      </c>
      <c r="G1260">
        <v>0.97468354430379744</v>
      </c>
      <c r="H1260">
        <v>12303</v>
      </c>
      <c r="I1260">
        <v>19800</v>
      </c>
      <c r="J1260">
        <v>12303</v>
      </c>
      <c r="K1260">
        <v>0.98678446518573582</v>
      </c>
      <c r="L1260">
        <f t="shared" ca="1" si="122"/>
        <v>239.227835</v>
      </c>
      <c r="M1260">
        <f t="shared" si="123"/>
        <v>245.44154499999999</v>
      </c>
      <c r="N1260">
        <v>12303</v>
      </c>
      <c r="O1260">
        <f t="shared" ca="1" si="119"/>
        <v>0.97468354430379756</v>
      </c>
    </row>
    <row r="1261" spans="1:15" x14ac:dyDescent="0.2">
      <c r="A1261" t="str">
        <f ca="1">IFERROR(__xludf.DUMMYFUNCTION("""COMPUTED_VALUE"""),"km")</f>
        <v>km</v>
      </c>
      <c r="B1261" t="str">
        <f ca="1">IFERROR(__xludf.DUMMYFUNCTION("""COMPUTED_VALUE"""),"Unspecified 85 kWh")</f>
        <v>Unspecified 85 kWh</v>
      </c>
      <c r="D1261">
        <f ca="1">IFERROR(__xludf.DUMMYFUNCTION("""COMPUTED_VALUE"""),22850)</f>
        <v>22850</v>
      </c>
      <c r="E1261">
        <f ca="1">IFERROR(__xludf.DUMMYFUNCTION("""COMPUTED_VALUE"""),385)</f>
        <v>385</v>
      </c>
      <c r="F1261">
        <v>395</v>
      </c>
      <c r="G1261">
        <v>0.97468354430379744</v>
      </c>
      <c r="H1261">
        <v>14198</v>
      </c>
      <c r="I1261">
        <v>22850</v>
      </c>
      <c r="J1261">
        <v>14198</v>
      </c>
      <c r="K1261">
        <v>0.98481211286067249</v>
      </c>
      <c r="L1261">
        <f t="shared" ca="1" si="122"/>
        <v>239.227835</v>
      </c>
      <c r="M1261">
        <f t="shared" si="123"/>
        <v>245.44154499999999</v>
      </c>
      <c r="N1261">
        <v>14198</v>
      </c>
      <c r="O1261">
        <f t="shared" ca="1" si="119"/>
        <v>0.97468354430379756</v>
      </c>
    </row>
    <row r="1262" spans="1:15" x14ac:dyDescent="0.2">
      <c r="A1262" t="str">
        <f ca="1">IFERROR(__xludf.DUMMYFUNCTION("""COMPUTED_VALUE"""),"km")</f>
        <v>km</v>
      </c>
      <c r="B1262" t="str">
        <f ca="1">IFERROR(__xludf.DUMMYFUNCTION("""COMPUTED_VALUE"""),"Model S P85")</f>
        <v>Model S P85</v>
      </c>
      <c r="D1262">
        <f ca="1">IFERROR(__xludf.DUMMYFUNCTION("""COMPUTED_VALUE"""),67000)</f>
        <v>67000</v>
      </c>
      <c r="E1262">
        <f ca="1">IFERROR(__xludf.DUMMYFUNCTION("""COMPUTED_VALUE"""),385)</f>
        <v>385</v>
      </c>
      <c r="F1262">
        <v>395</v>
      </c>
      <c r="G1262">
        <v>0.97468354430379744</v>
      </c>
      <c r="H1262">
        <v>41632</v>
      </c>
      <c r="I1262">
        <v>67000</v>
      </c>
      <c r="J1262">
        <v>41632</v>
      </c>
      <c r="K1262">
        <v>0.95820523073384611</v>
      </c>
      <c r="L1262">
        <f t="shared" ca="1" si="122"/>
        <v>239.227835</v>
      </c>
      <c r="M1262">
        <f t="shared" si="123"/>
        <v>245.44154499999999</v>
      </c>
      <c r="N1262">
        <v>41632</v>
      </c>
      <c r="O1262">
        <f t="shared" ca="1" si="119"/>
        <v>0.97468354430379756</v>
      </c>
    </row>
    <row r="1263" spans="1:15" x14ac:dyDescent="0.2">
      <c r="A1263" t="str">
        <f ca="1">IFERROR(__xludf.DUMMYFUNCTION("""COMPUTED_VALUE"""),"km")</f>
        <v>km</v>
      </c>
      <c r="B1263" t="str">
        <f ca="1">IFERROR(__xludf.DUMMYFUNCTION("""COMPUTED_VALUE"""),"Model S 70D")</f>
        <v>Model S 70D</v>
      </c>
      <c r="C1263">
        <f ca="1">IFERROR(__xludf.DUMMYFUNCTION("""COMPUTED_VALUE"""),382)</f>
        <v>382</v>
      </c>
      <c r="D1263">
        <f ca="1">IFERROR(__xludf.DUMMYFUNCTION("""COMPUTED_VALUE"""),93005)</f>
        <v>93005</v>
      </c>
      <c r="E1263">
        <f ca="1">IFERROR(__xludf.DUMMYFUNCTION("""COMPUTED_VALUE"""),351)</f>
        <v>351</v>
      </c>
      <c r="F1263">
        <v>360</v>
      </c>
      <c r="G1263">
        <v>0.97499999999999998</v>
      </c>
      <c r="H1263">
        <v>57791</v>
      </c>
      <c r="I1263">
        <v>93005</v>
      </c>
      <c r="J1263">
        <v>57791</v>
      </c>
      <c r="K1263">
        <v>0.94428297232700165</v>
      </c>
      <c r="L1263">
        <f t="shared" ca="1" si="122"/>
        <v>218.10122100000001</v>
      </c>
      <c r="M1263">
        <f t="shared" si="123"/>
        <v>223.69355999999999</v>
      </c>
      <c r="N1263">
        <v>57791</v>
      </c>
      <c r="O1263">
        <f t="shared" ca="1" si="119"/>
        <v>0.97500000000000009</v>
      </c>
    </row>
    <row r="1264" spans="1:15" x14ac:dyDescent="0.2">
      <c r="A1264" t="str">
        <f ca="1">IFERROR(__xludf.DUMMYFUNCTION("""COMPUTED_VALUE"""),"km")</f>
        <v>km</v>
      </c>
      <c r="B1264" t="str">
        <f ca="1">IFERROR(__xludf.DUMMYFUNCTION("""COMPUTED_VALUE"""),"Model S 70D")</f>
        <v>Model S 70D</v>
      </c>
      <c r="C1264">
        <f ca="1">IFERROR(__xludf.DUMMYFUNCTION("""COMPUTED_VALUE"""),366)</f>
        <v>366</v>
      </c>
      <c r="D1264">
        <f ca="1">IFERROR(__xludf.DUMMYFUNCTION("""COMPUTED_VALUE"""),171941)</f>
        <v>171941</v>
      </c>
      <c r="E1264">
        <f ca="1">IFERROR(__xludf.DUMMYFUNCTION("""COMPUTED_VALUE"""),351)</f>
        <v>351</v>
      </c>
      <c r="F1264">
        <v>360</v>
      </c>
      <c r="G1264">
        <v>0.97499999999999998</v>
      </c>
      <c r="H1264">
        <v>106839</v>
      </c>
      <c r="I1264">
        <v>171941</v>
      </c>
      <c r="J1264">
        <v>106839</v>
      </c>
      <c r="K1264">
        <v>0.9104298231510215</v>
      </c>
      <c r="L1264">
        <f t="shared" ca="1" si="122"/>
        <v>218.10122100000001</v>
      </c>
      <c r="M1264">
        <f t="shared" si="123"/>
        <v>223.69355999999999</v>
      </c>
      <c r="N1264">
        <v>106839</v>
      </c>
      <c r="O1264">
        <f t="shared" ca="1" si="119"/>
        <v>0.97500000000000009</v>
      </c>
    </row>
    <row r="1265" spans="1:15" x14ac:dyDescent="0.2">
      <c r="A1265" t="str">
        <f ca="1">IFERROR(__xludf.DUMMYFUNCTION("""COMPUTED_VALUE"""),"km")</f>
        <v>km</v>
      </c>
      <c r="B1265" t="str">
        <f ca="1">IFERROR(__xludf.DUMMYFUNCTION("""COMPUTED_VALUE"""),"Model S 70D")</f>
        <v>Model S 70D</v>
      </c>
      <c r="C1265">
        <f ca="1">IFERROR(__xludf.DUMMYFUNCTION("""COMPUTED_VALUE"""),360)</f>
        <v>360</v>
      </c>
      <c r="D1265">
        <f ca="1">IFERROR(__xludf.DUMMYFUNCTION("""COMPUTED_VALUE"""),65470)</f>
        <v>65470</v>
      </c>
      <c r="E1265">
        <f ca="1">IFERROR(__xludf.DUMMYFUNCTION("""COMPUTED_VALUE"""),351)</f>
        <v>351</v>
      </c>
      <c r="F1265">
        <v>360</v>
      </c>
      <c r="G1265">
        <v>0.97499999999999998</v>
      </c>
      <c r="H1265">
        <v>40681</v>
      </c>
      <c r="I1265">
        <v>65470</v>
      </c>
      <c r="J1265">
        <v>40681</v>
      </c>
      <c r="K1265">
        <v>0.95906539843053662</v>
      </c>
      <c r="L1265">
        <f t="shared" ca="1" si="122"/>
        <v>218.10122100000001</v>
      </c>
      <c r="M1265">
        <f t="shared" si="123"/>
        <v>223.69355999999999</v>
      </c>
      <c r="N1265">
        <v>40681</v>
      </c>
      <c r="O1265">
        <f t="shared" ca="1" si="119"/>
        <v>0.97500000000000009</v>
      </c>
    </row>
    <row r="1266" spans="1:15" x14ac:dyDescent="0.2">
      <c r="A1266" t="str">
        <f ca="1">IFERROR(__xludf.DUMMYFUNCTION("""COMPUTED_VALUE"""),"km")</f>
        <v>km</v>
      </c>
      <c r="B1266" t="str">
        <f ca="1">IFERROR(__xludf.DUMMYFUNCTION("""COMPUTED_VALUE"""),"Model S 70D")</f>
        <v>Model S 70D</v>
      </c>
      <c r="C1266">
        <f ca="1">IFERROR(__xludf.DUMMYFUNCTION("""COMPUTED_VALUE"""),360)</f>
        <v>360</v>
      </c>
      <c r="D1266">
        <f ca="1">IFERROR(__xludf.DUMMYFUNCTION("""COMPUTED_VALUE"""),58335)</f>
        <v>58335</v>
      </c>
      <c r="E1266">
        <f ca="1">IFERROR(__xludf.DUMMYFUNCTION("""COMPUTED_VALUE"""),351)</f>
        <v>351</v>
      </c>
      <c r="F1266">
        <v>360</v>
      </c>
      <c r="G1266">
        <v>0.97499999999999998</v>
      </c>
      <c r="H1266">
        <v>36248</v>
      </c>
      <c r="I1266">
        <v>58335</v>
      </c>
      <c r="J1266">
        <v>36248</v>
      </c>
      <c r="K1266">
        <v>0.96313616425959747</v>
      </c>
      <c r="L1266">
        <f t="shared" ca="1" si="122"/>
        <v>218.10122100000001</v>
      </c>
      <c r="M1266">
        <f t="shared" si="123"/>
        <v>223.69355999999999</v>
      </c>
      <c r="N1266">
        <v>36248</v>
      </c>
      <c r="O1266">
        <f t="shared" ca="1" si="119"/>
        <v>0.97500000000000009</v>
      </c>
    </row>
    <row r="1267" spans="1:15" x14ac:dyDescent="0.2">
      <c r="A1267" t="str">
        <f ca="1">IFERROR(__xludf.DUMMYFUNCTION("""COMPUTED_VALUE"""),"km")</f>
        <v>km</v>
      </c>
      <c r="B1267" t="str">
        <f ca="1">IFERROR(__xludf.DUMMYFUNCTION("""COMPUTED_VALUE"""),"Model S 70D")</f>
        <v>Model S 70D</v>
      </c>
      <c r="D1267">
        <f ca="1">IFERROR(__xludf.DUMMYFUNCTION("""COMPUTED_VALUE"""),2611)</f>
        <v>2611</v>
      </c>
      <c r="E1267">
        <f ca="1">IFERROR(__xludf.DUMMYFUNCTION("""COMPUTED_VALUE"""),351)</f>
        <v>351</v>
      </c>
      <c r="F1267">
        <v>360</v>
      </c>
      <c r="G1267">
        <v>0.97499999999999998</v>
      </c>
      <c r="H1267">
        <v>1622</v>
      </c>
      <c r="I1267">
        <v>2611</v>
      </c>
      <c r="J1267">
        <v>1622</v>
      </c>
      <c r="K1267">
        <v>0.99821678483880272</v>
      </c>
      <c r="L1267">
        <f t="shared" ca="1" si="122"/>
        <v>218.10122100000001</v>
      </c>
      <c r="M1267">
        <f t="shared" si="123"/>
        <v>223.69355999999999</v>
      </c>
      <c r="N1267">
        <v>1622</v>
      </c>
      <c r="O1267">
        <f t="shared" ca="1" si="119"/>
        <v>0.97500000000000009</v>
      </c>
    </row>
    <row r="1268" spans="1:15" x14ac:dyDescent="0.2">
      <c r="A1268" t="str">
        <f ca="1">IFERROR(__xludf.DUMMYFUNCTION("""COMPUTED_VALUE"""),"km")</f>
        <v>km</v>
      </c>
      <c r="B1268" t="str">
        <f ca="1">IFERROR(__xludf.DUMMYFUNCTION("""COMPUTED_VALUE"""),"Model S 70D")</f>
        <v>Model S 70D</v>
      </c>
      <c r="C1268">
        <f ca="1">IFERROR(__xludf.DUMMYFUNCTION("""COMPUTED_VALUE"""),323)</f>
        <v>323</v>
      </c>
      <c r="D1268">
        <f ca="1">IFERROR(__xludf.DUMMYFUNCTION("""COMPUTED_VALUE"""),1068)</f>
        <v>1068</v>
      </c>
      <c r="E1268">
        <f ca="1">IFERROR(__xludf.DUMMYFUNCTION("""COMPUTED_VALUE"""),351)</f>
        <v>351</v>
      </c>
      <c r="F1268">
        <v>360</v>
      </c>
      <c r="G1268">
        <v>0.97499999999999998</v>
      </c>
      <c r="H1268">
        <v>664</v>
      </c>
      <c r="I1268">
        <v>1068</v>
      </c>
      <c r="J1268">
        <v>664</v>
      </c>
      <c r="K1268">
        <v>0.99926911946351216</v>
      </c>
      <c r="L1268">
        <f t="shared" ca="1" si="122"/>
        <v>218.10122100000001</v>
      </c>
      <c r="M1268">
        <f t="shared" si="123"/>
        <v>223.69355999999999</v>
      </c>
      <c r="N1268">
        <v>664</v>
      </c>
      <c r="O1268">
        <f t="shared" ca="1" si="119"/>
        <v>0.97500000000000009</v>
      </c>
    </row>
    <row r="1269" spans="1:15" x14ac:dyDescent="0.2">
      <c r="A1269" t="str">
        <f ca="1">IFERROR(__xludf.DUMMYFUNCTION("""COMPUTED_VALUE"""),"km")</f>
        <v>km</v>
      </c>
      <c r="B1269" t="str">
        <f ca="1">IFERROR(__xludf.DUMMYFUNCTION("""COMPUTED_VALUE"""),"Model S 70D")</f>
        <v>Model S 70D</v>
      </c>
      <c r="C1269">
        <f ca="1">IFERROR(__xludf.DUMMYFUNCTION("""COMPUTED_VALUE"""),323)</f>
        <v>323</v>
      </c>
      <c r="D1269">
        <f ca="1">IFERROR(__xludf.DUMMYFUNCTION("""COMPUTED_VALUE"""),896)</f>
        <v>896</v>
      </c>
      <c r="E1269">
        <f ca="1">IFERROR(__xludf.DUMMYFUNCTION("""COMPUTED_VALUE"""),351)</f>
        <v>351</v>
      </c>
      <c r="F1269">
        <v>360</v>
      </c>
      <c r="G1269">
        <v>0.97499999999999998</v>
      </c>
      <c r="H1269">
        <v>557</v>
      </c>
      <c r="I1269">
        <v>896</v>
      </c>
      <c r="J1269">
        <v>557</v>
      </c>
      <c r="K1269">
        <v>0.9993866888195545</v>
      </c>
      <c r="L1269">
        <f t="shared" ca="1" si="122"/>
        <v>218.10122100000001</v>
      </c>
      <c r="M1269">
        <f t="shared" si="123"/>
        <v>223.69355999999999</v>
      </c>
      <c r="N1269">
        <v>557</v>
      </c>
      <c r="O1269">
        <f t="shared" ca="1" si="119"/>
        <v>0.97500000000000009</v>
      </c>
    </row>
    <row r="1270" spans="1:15" x14ac:dyDescent="0.2">
      <c r="A1270" t="str">
        <f ca="1">IFERROR(__xludf.DUMMYFUNCTION("""COMPUTED_VALUE"""),"km")</f>
        <v>km</v>
      </c>
      <c r="B1270" t="str">
        <f ca="1">IFERROR(__xludf.DUMMYFUNCTION("""COMPUTED_VALUE"""),"Model S P100D")</f>
        <v>Model S P100D</v>
      </c>
      <c r="D1270">
        <f ca="1">IFERROR(__xludf.DUMMYFUNCTION("""COMPUTED_VALUE"""),22863)</f>
        <v>22863</v>
      </c>
      <c r="E1270">
        <f ca="1">IFERROR(__xludf.DUMMYFUNCTION("""COMPUTED_VALUE"""),471)</f>
        <v>471</v>
      </c>
      <c r="F1270">
        <v>483</v>
      </c>
      <c r="G1270">
        <v>0.97515527950310554</v>
      </c>
      <c r="H1270">
        <v>14206</v>
      </c>
      <c r="I1270">
        <v>22863</v>
      </c>
      <c r="J1270">
        <v>14206</v>
      </c>
      <c r="K1270">
        <v>0.9848037426360241</v>
      </c>
      <c r="L1270">
        <f t="shared" ca="1" si="122"/>
        <v>292.66574100000003</v>
      </c>
      <c r="M1270">
        <f t="shared" si="123"/>
        <v>300.12219299999998</v>
      </c>
      <c r="N1270">
        <v>14206</v>
      </c>
      <c r="O1270">
        <f t="shared" ca="1" si="119"/>
        <v>0.97515527950310577</v>
      </c>
    </row>
    <row r="1271" spans="1:15" x14ac:dyDescent="0.2">
      <c r="A1271" t="str">
        <f ca="1">IFERROR(__xludf.DUMMYFUNCTION("""COMPUTED_VALUE"""),"km")</f>
        <v>km</v>
      </c>
      <c r="B1271" t="str">
        <f ca="1">IFERROR(__xludf.DUMMYFUNCTION("""COMPUTED_VALUE"""),"Model S P85D")</f>
        <v>Model S P85D</v>
      </c>
      <c r="D1271">
        <f ca="1">IFERROR(__xludf.DUMMYFUNCTION("""COMPUTED_VALUE"""),15970)</f>
        <v>15970</v>
      </c>
      <c r="E1271">
        <f ca="1">IFERROR(__xludf.DUMMYFUNCTION("""COMPUTED_VALUE"""),393)</f>
        <v>393</v>
      </c>
      <c r="F1271">
        <v>403</v>
      </c>
      <c r="G1271">
        <v>0.97518610421836227</v>
      </c>
      <c r="H1271">
        <v>9923</v>
      </c>
      <c r="I1271">
        <v>15970</v>
      </c>
      <c r="J1271">
        <v>9923</v>
      </c>
      <c r="K1271">
        <v>0.98928532865998031</v>
      </c>
      <c r="L1271">
        <f t="shared" ca="1" si="122"/>
        <v>244.198803</v>
      </c>
      <c r="M1271">
        <f t="shared" si="123"/>
        <v>250.41251299999999</v>
      </c>
      <c r="N1271">
        <v>9923</v>
      </c>
      <c r="O1271">
        <f t="shared" ca="1" si="119"/>
        <v>0.97518610421836227</v>
      </c>
    </row>
    <row r="1272" spans="1:15" x14ac:dyDescent="0.2">
      <c r="A1272" t="str">
        <f ca="1">IFERROR(__xludf.DUMMYFUNCTION("""COMPUTED_VALUE"""),"km")</f>
        <v>km</v>
      </c>
      <c r="B1272" t="str">
        <f ca="1">IFERROR(__xludf.DUMMYFUNCTION("""COMPUTED_VALUE"""),"Model S P85D")</f>
        <v>Model S P85D</v>
      </c>
      <c r="C1272">
        <f ca="1">IFERROR(__xludf.DUMMYFUNCTION("""COMPUTED_VALUE"""),406)</f>
        <v>406</v>
      </c>
      <c r="D1272">
        <f ca="1">IFERROR(__xludf.DUMMYFUNCTION("""COMPUTED_VALUE"""),18278)</f>
        <v>18278</v>
      </c>
      <c r="E1272">
        <f ca="1">IFERROR(__xludf.DUMMYFUNCTION("""COMPUTED_VALUE"""),393)</f>
        <v>393</v>
      </c>
      <c r="F1272">
        <v>403</v>
      </c>
      <c r="G1272">
        <v>0.97518610421836227</v>
      </c>
      <c r="H1272">
        <v>11357</v>
      </c>
      <c r="I1272">
        <v>18278</v>
      </c>
      <c r="J1272">
        <v>11357</v>
      </c>
      <c r="K1272">
        <v>0.98777507285048982</v>
      </c>
      <c r="L1272">
        <f t="shared" ca="1" si="122"/>
        <v>244.198803</v>
      </c>
      <c r="M1272">
        <f t="shared" si="123"/>
        <v>250.41251299999999</v>
      </c>
      <c r="N1272">
        <v>11357</v>
      </c>
      <c r="O1272">
        <f t="shared" ca="1" si="119"/>
        <v>0.97518610421836227</v>
      </c>
    </row>
    <row r="1273" spans="1:15" x14ac:dyDescent="0.2">
      <c r="A1273" t="str">
        <f ca="1">IFERROR(__xludf.DUMMYFUNCTION("""COMPUTED_VALUE"""),"km")</f>
        <v>km</v>
      </c>
      <c r="B1273" t="str">
        <f ca="1">IFERROR(__xludf.DUMMYFUNCTION("""COMPUTED_VALUE"""),"Model S 60")</f>
        <v>Model S 60</v>
      </c>
      <c r="D1273">
        <f ca="1">IFERROR(__xludf.DUMMYFUNCTION("""COMPUTED_VALUE"""),31000)</f>
        <v>31000</v>
      </c>
      <c r="E1273">
        <f ca="1">IFERROR(__xludf.DUMMYFUNCTION("""COMPUTED_VALUE"""),277)</f>
        <v>277</v>
      </c>
      <c r="F1273">
        <v>284</v>
      </c>
      <c r="G1273">
        <v>0.97535211267605637</v>
      </c>
      <c r="H1273">
        <v>19263</v>
      </c>
      <c r="I1273">
        <v>31000</v>
      </c>
      <c r="J1273">
        <v>19263</v>
      </c>
      <c r="K1273">
        <v>0.97962571153429523</v>
      </c>
      <c r="L1273">
        <f t="shared" ca="1" si="122"/>
        <v>172.119767</v>
      </c>
      <c r="M1273">
        <f t="shared" si="123"/>
        <v>176.46936400000001</v>
      </c>
      <c r="N1273">
        <v>19263</v>
      </c>
      <c r="O1273">
        <f t="shared" ca="1" si="119"/>
        <v>0.97535211267605626</v>
      </c>
    </row>
    <row r="1274" spans="1:15" x14ac:dyDescent="0.2">
      <c r="A1274" t="str">
        <f ca="1">IFERROR(__xludf.DUMMYFUNCTION("""COMPUTED_VALUE"""),"km")</f>
        <v>km</v>
      </c>
      <c r="B1274" t="str">
        <f ca="1">IFERROR(__xludf.DUMMYFUNCTION("""COMPUTED_VALUE"""),"Model S 60")</f>
        <v>Model S 60</v>
      </c>
      <c r="D1274">
        <f ca="1">IFERROR(__xludf.DUMMYFUNCTION("""COMPUTED_VALUE"""),33000)</f>
        <v>33000</v>
      </c>
      <c r="E1274">
        <f ca="1">IFERROR(__xludf.DUMMYFUNCTION("""COMPUTED_VALUE"""),277)</f>
        <v>277</v>
      </c>
      <c r="F1274">
        <v>284</v>
      </c>
      <c r="G1274">
        <v>0.97535211267605637</v>
      </c>
      <c r="H1274">
        <v>20505</v>
      </c>
      <c r="I1274">
        <v>33000</v>
      </c>
      <c r="J1274">
        <v>20505</v>
      </c>
      <c r="K1274">
        <v>0.97837174568397722</v>
      </c>
      <c r="L1274">
        <f t="shared" ca="1" si="122"/>
        <v>172.119767</v>
      </c>
      <c r="M1274">
        <f t="shared" si="123"/>
        <v>176.46936400000001</v>
      </c>
      <c r="N1274">
        <v>20505</v>
      </c>
      <c r="O1274">
        <f t="shared" ca="1" si="119"/>
        <v>0.97535211267605626</v>
      </c>
    </row>
    <row r="1275" spans="1:15" x14ac:dyDescent="0.2">
      <c r="A1275" t="str">
        <f ca="1">IFERROR(__xludf.DUMMYFUNCTION("""COMPUTED_VALUE"""),"km")</f>
        <v>km</v>
      </c>
      <c r="B1275" t="str">
        <f ca="1">IFERROR(__xludf.DUMMYFUNCTION("""COMPUTED_VALUE"""),"Model S 90D")</f>
        <v>Model S 90D</v>
      </c>
      <c r="C1275">
        <f ca="1">IFERROR(__xludf.DUMMYFUNCTION("""COMPUTED_VALUE"""),458)</f>
        <v>458</v>
      </c>
      <c r="D1275">
        <f ca="1">IFERROR(__xludf.DUMMYFUNCTION("""COMPUTED_VALUE"""),37425)</f>
        <v>37425</v>
      </c>
      <c r="E1275">
        <f ca="1">IFERROR(__xludf.DUMMYFUNCTION("""COMPUTED_VALUE"""),436)</f>
        <v>436</v>
      </c>
      <c r="F1275">
        <v>447</v>
      </c>
      <c r="G1275">
        <v>0.97539149888143173</v>
      </c>
      <c r="H1275">
        <v>23255</v>
      </c>
      <c r="I1275">
        <v>37425</v>
      </c>
      <c r="J1275">
        <v>23255</v>
      </c>
      <c r="K1275">
        <v>0.97562378035815134</v>
      </c>
      <c r="L1275">
        <f t="shared" ca="1" si="122"/>
        <v>270.917756</v>
      </c>
      <c r="M1275">
        <f t="shared" si="123"/>
        <v>277.752837</v>
      </c>
      <c r="N1275">
        <v>23255</v>
      </c>
      <c r="O1275">
        <f t="shared" ca="1" si="119"/>
        <v>0.97539149888143173</v>
      </c>
    </row>
    <row r="1276" spans="1:15" x14ac:dyDescent="0.2">
      <c r="A1276" t="str">
        <f ca="1">IFERROR(__xludf.DUMMYFUNCTION("""COMPUTED_VALUE"""),"km")</f>
        <v>km</v>
      </c>
      <c r="B1276" t="str">
        <f ca="1">IFERROR(__xludf.DUMMYFUNCTION("""COMPUTED_VALUE"""),"Model S 90D")</f>
        <v>Model S 90D</v>
      </c>
      <c r="C1276">
        <f ca="1">IFERROR(__xludf.DUMMYFUNCTION("""COMPUTED_VALUE"""),457)</f>
        <v>457</v>
      </c>
      <c r="D1276">
        <f ca="1">IFERROR(__xludf.DUMMYFUNCTION("""COMPUTED_VALUE"""),13500)</f>
        <v>13500</v>
      </c>
      <c r="E1276">
        <f ca="1">IFERROR(__xludf.DUMMYFUNCTION("""COMPUTED_VALUE"""),436)</f>
        <v>436</v>
      </c>
      <c r="F1276">
        <v>447</v>
      </c>
      <c r="G1276">
        <v>0.97539149888143173</v>
      </c>
      <c r="H1276">
        <v>8389</v>
      </c>
      <c r="I1276">
        <v>13500</v>
      </c>
      <c r="J1276">
        <v>8389</v>
      </c>
      <c r="K1276">
        <v>0.99091234253782901</v>
      </c>
      <c r="L1276">
        <f t="shared" ca="1" si="122"/>
        <v>270.917756</v>
      </c>
      <c r="M1276">
        <f t="shared" si="123"/>
        <v>277.752837</v>
      </c>
      <c r="N1276">
        <v>8389</v>
      </c>
      <c r="O1276">
        <f t="shared" ca="1" si="119"/>
        <v>0.97539149888143173</v>
      </c>
    </row>
    <row r="1277" spans="1:15" x14ac:dyDescent="0.2">
      <c r="A1277" t="str">
        <f ca="1">IFERROR(__xludf.DUMMYFUNCTION("""COMPUTED_VALUE"""),"mi")</f>
        <v>mi</v>
      </c>
      <c r="B1277" t="str">
        <f ca="1">IFERROR(__xludf.DUMMYFUNCTION("""COMPUTED_VALUE"""),"Model S 85")</f>
        <v>Model S 85</v>
      </c>
      <c r="C1277">
        <f ca="1">IFERROR(__xludf.DUMMYFUNCTION("""COMPUTED_VALUE"""),247)</f>
        <v>247</v>
      </c>
      <c r="D1277">
        <f ca="1">IFERROR(__xludf.DUMMYFUNCTION("""COMPUTED_VALUE"""),49900)</f>
        <v>49900</v>
      </c>
      <c r="E1277">
        <f ca="1">IFERROR(__xludf.DUMMYFUNCTION("""COMPUTED_VALUE"""),239)</f>
        <v>239</v>
      </c>
      <c r="F1277">
        <v>245</v>
      </c>
      <c r="G1277">
        <v>0.97551020408163269</v>
      </c>
      <c r="H1277">
        <v>49900</v>
      </c>
      <c r="I1277">
        <v>80306</v>
      </c>
      <c r="J1277">
        <v>49900</v>
      </c>
      <c r="K1277">
        <v>0.95091602890204663</v>
      </c>
      <c r="L1277">
        <f ca="1">IFERROR(__xludf.DUMMYFUNCTION("""COMPUTED_VALUE"""),239)</f>
        <v>239</v>
      </c>
      <c r="M1277">
        <v>245</v>
      </c>
      <c r="N1277">
        <v>49900</v>
      </c>
      <c r="O1277">
        <f t="shared" ca="1" si="119"/>
        <v>0.97551020408163269</v>
      </c>
    </row>
    <row r="1278" spans="1:15" x14ac:dyDescent="0.2">
      <c r="A1278" t="str">
        <f ca="1">IFERROR(__xludf.DUMMYFUNCTION("""COMPUTED_VALUE"""),"mi")</f>
        <v>mi</v>
      </c>
      <c r="B1278" t="str">
        <f ca="1">IFERROR(__xludf.DUMMYFUNCTION("""COMPUTED_VALUE"""),"Model S 75")</f>
        <v>Model S 75</v>
      </c>
      <c r="D1278">
        <f ca="1">IFERROR(__xludf.DUMMYFUNCTION("""COMPUTED_VALUE"""),28993)</f>
        <v>28993</v>
      </c>
      <c r="E1278">
        <f ca="1">IFERROR(__xludf.DUMMYFUNCTION("""COMPUTED_VALUE"""),240)</f>
        <v>240</v>
      </c>
      <c r="F1278">
        <v>246</v>
      </c>
      <c r="G1278">
        <v>0.97560975609756095</v>
      </c>
      <c r="H1278">
        <v>28993</v>
      </c>
      <c r="I1278">
        <v>46660</v>
      </c>
      <c r="J1278">
        <v>28993</v>
      </c>
      <c r="K1278">
        <v>0.97000675021821603</v>
      </c>
      <c r="L1278">
        <f ca="1">IFERROR(__xludf.DUMMYFUNCTION("""COMPUTED_VALUE"""),240)</f>
        <v>240</v>
      </c>
      <c r="M1278">
        <v>246</v>
      </c>
      <c r="N1278">
        <v>28993</v>
      </c>
      <c r="O1278">
        <f t="shared" ca="1" si="119"/>
        <v>0.97560975609756095</v>
      </c>
    </row>
    <row r="1279" spans="1:15" x14ac:dyDescent="0.2">
      <c r="A1279" t="str">
        <f ca="1">IFERROR(__xludf.DUMMYFUNCTION("""COMPUTED_VALUE"""),"mi")</f>
        <v>mi</v>
      </c>
      <c r="B1279" t="str">
        <f ca="1">IFERROR(__xludf.DUMMYFUNCTION("""COMPUTED_VALUE"""),"Model S 75")</f>
        <v>Model S 75</v>
      </c>
      <c r="D1279">
        <f ca="1">IFERROR(__xludf.DUMMYFUNCTION("""COMPUTED_VALUE"""),5500)</f>
        <v>5500</v>
      </c>
      <c r="E1279">
        <f ca="1">IFERROR(__xludf.DUMMYFUNCTION("""COMPUTED_VALUE"""),240)</f>
        <v>240</v>
      </c>
      <c r="F1279">
        <v>246</v>
      </c>
      <c r="G1279">
        <v>0.97560975609756095</v>
      </c>
      <c r="H1279">
        <v>5500</v>
      </c>
      <c r="I1279">
        <v>8851</v>
      </c>
      <c r="J1279">
        <v>5500</v>
      </c>
      <c r="K1279">
        <v>0.99400473158460945</v>
      </c>
      <c r="L1279">
        <f ca="1">IFERROR(__xludf.DUMMYFUNCTION("""COMPUTED_VALUE"""),240)</f>
        <v>240</v>
      </c>
      <c r="M1279">
        <v>246</v>
      </c>
      <c r="N1279">
        <v>5500</v>
      </c>
      <c r="O1279">
        <f t="shared" ca="1" si="119"/>
        <v>0.97560975609756095</v>
      </c>
    </row>
    <row r="1280" spans="1:15" x14ac:dyDescent="0.2">
      <c r="A1280" t="str">
        <f ca="1">IFERROR(__xludf.DUMMYFUNCTION("""COMPUTED_VALUE"""),"km")</f>
        <v>km</v>
      </c>
      <c r="B1280" t="str">
        <f ca="1">IFERROR(__xludf.DUMMYFUNCTION("""COMPUTED_VALUE"""),"Model S P90D")</f>
        <v>Model S P90D</v>
      </c>
      <c r="C1280">
        <f ca="1">IFERROR(__xludf.DUMMYFUNCTION("""COMPUTED_VALUE"""),428)</f>
        <v>428</v>
      </c>
      <c r="D1280">
        <f ca="1">IFERROR(__xludf.DUMMYFUNCTION("""COMPUTED_VALUE"""),35333)</f>
        <v>35333</v>
      </c>
      <c r="E1280">
        <f ca="1">IFERROR(__xludf.DUMMYFUNCTION("""COMPUTED_VALUE"""),402)</f>
        <v>402</v>
      </c>
      <c r="F1280">
        <v>412</v>
      </c>
      <c r="G1280">
        <v>0.97572815533980584</v>
      </c>
      <c r="H1280">
        <v>21955</v>
      </c>
      <c r="I1280">
        <v>35333</v>
      </c>
      <c r="J1280">
        <v>21955</v>
      </c>
      <c r="K1280">
        <v>0.97691838607936132</v>
      </c>
      <c r="L1280">
        <f t="shared" ref="L1280:L1288" ca="1" si="124">E1280*0.621371</f>
        <v>249.79114200000001</v>
      </c>
      <c r="M1280">
        <f t="shared" ref="M1280:M1288" si="125">F1280*0.621371</f>
        <v>256.00485200000003</v>
      </c>
      <c r="N1280">
        <v>21955</v>
      </c>
      <c r="O1280">
        <f t="shared" ca="1" si="119"/>
        <v>0.97572815533980572</v>
      </c>
    </row>
    <row r="1281" spans="1:15" x14ac:dyDescent="0.2">
      <c r="A1281" t="str">
        <f ca="1">IFERROR(__xludf.DUMMYFUNCTION("""COMPUTED_VALUE"""),"km")</f>
        <v>km</v>
      </c>
      <c r="B1281" t="str">
        <f ca="1">IFERROR(__xludf.DUMMYFUNCTION("""COMPUTED_VALUE"""),"Model S P90D")</f>
        <v>Model S P90D</v>
      </c>
      <c r="C1281">
        <f ca="1">IFERROR(__xludf.DUMMYFUNCTION("""COMPUTED_VALUE"""),412)</f>
        <v>412</v>
      </c>
      <c r="D1281">
        <f ca="1">IFERROR(__xludf.DUMMYFUNCTION("""COMPUTED_VALUE"""),10001)</f>
        <v>10001</v>
      </c>
      <c r="E1281">
        <f ca="1">IFERROR(__xludf.DUMMYFUNCTION("""COMPUTED_VALUE"""),402)</f>
        <v>402</v>
      </c>
      <c r="F1281">
        <v>412</v>
      </c>
      <c r="G1281">
        <v>0.97572815533980584</v>
      </c>
      <c r="H1281">
        <v>6214</v>
      </c>
      <c r="I1281">
        <v>10001</v>
      </c>
      <c r="J1281">
        <v>6214</v>
      </c>
      <c r="K1281">
        <v>0.993236137944429</v>
      </c>
      <c r="L1281">
        <f t="shared" ca="1" si="124"/>
        <v>249.79114200000001</v>
      </c>
      <c r="M1281">
        <f t="shared" si="125"/>
        <v>256.00485200000003</v>
      </c>
      <c r="N1281">
        <v>6214</v>
      </c>
      <c r="O1281">
        <f t="shared" ca="1" si="119"/>
        <v>0.97572815533980572</v>
      </c>
    </row>
    <row r="1282" spans="1:15" x14ac:dyDescent="0.2">
      <c r="A1282" t="str">
        <f ca="1">IFERROR(__xludf.DUMMYFUNCTION("""COMPUTED_VALUE"""),"km")</f>
        <v>km</v>
      </c>
      <c r="B1282" t="str">
        <f ca="1">IFERROR(__xludf.DUMMYFUNCTION("""COMPUTED_VALUE"""),"Model 3 LR AWD")</f>
        <v>Model 3 LR AWD</v>
      </c>
      <c r="C1282">
        <f ca="1">IFERROR(__xludf.DUMMYFUNCTION("""COMPUTED_VALUE"""),480)</f>
        <v>480</v>
      </c>
      <c r="D1282">
        <f ca="1">IFERROR(__xludf.DUMMYFUNCTION("""COMPUTED_VALUE"""),2000)</f>
        <v>2000</v>
      </c>
      <c r="E1282">
        <f ca="1">IFERROR(__xludf.DUMMYFUNCTION("""COMPUTED_VALUE"""),487)</f>
        <v>487</v>
      </c>
      <c r="F1282">
        <v>499</v>
      </c>
      <c r="G1282">
        <v>0.97595190380761521</v>
      </c>
      <c r="H1282">
        <v>1243</v>
      </c>
      <c r="I1282">
        <v>2000</v>
      </c>
      <c r="J1282">
        <v>1243</v>
      </c>
      <c r="K1282">
        <v>0.99863297963308328</v>
      </c>
      <c r="L1282">
        <f t="shared" ca="1" si="124"/>
        <v>302.60767700000002</v>
      </c>
      <c r="M1282">
        <f t="shared" si="125"/>
        <v>310.06412899999998</v>
      </c>
      <c r="N1282">
        <v>1243</v>
      </c>
      <c r="O1282">
        <f t="shared" ref="O1282:O1345" ca="1" si="126">L1282/M1282</f>
        <v>0.97595190380761532</v>
      </c>
    </row>
    <row r="1283" spans="1:15" x14ac:dyDescent="0.2">
      <c r="A1283" t="str">
        <f ca="1">IFERROR(__xludf.DUMMYFUNCTION("""COMPUTED_VALUE"""),"km")</f>
        <v>km</v>
      </c>
      <c r="B1283" t="str">
        <f ca="1">IFERROR(__xludf.DUMMYFUNCTION("""COMPUTED_VALUE"""),"Model 3 P")</f>
        <v>Model 3 P</v>
      </c>
      <c r="C1283">
        <f ca="1">IFERROR(__xludf.DUMMYFUNCTION("""COMPUTED_VALUE"""),496)</f>
        <v>496</v>
      </c>
      <c r="D1283">
        <f ca="1">IFERROR(__xludf.DUMMYFUNCTION("""COMPUTED_VALUE"""),26965)</f>
        <v>26965</v>
      </c>
      <c r="E1283">
        <f ca="1">IFERROR(__xludf.DUMMYFUNCTION("""COMPUTED_VALUE"""),487)</f>
        <v>487</v>
      </c>
      <c r="F1283">
        <v>499</v>
      </c>
      <c r="G1283">
        <v>0.97595190380761521</v>
      </c>
      <c r="H1283">
        <v>16755</v>
      </c>
      <c r="I1283">
        <v>26965</v>
      </c>
      <c r="J1283">
        <v>16755</v>
      </c>
      <c r="K1283">
        <v>0.98217813937455167</v>
      </c>
      <c r="L1283">
        <f t="shared" ca="1" si="124"/>
        <v>302.60767700000002</v>
      </c>
      <c r="M1283">
        <f t="shared" si="125"/>
        <v>310.06412899999998</v>
      </c>
      <c r="N1283">
        <v>16755</v>
      </c>
      <c r="O1283">
        <f t="shared" ca="1" si="126"/>
        <v>0.97595190380761532</v>
      </c>
    </row>
    <row r="1284" spans="1:15" x14ac:dyDescent="0.2">
      <c r="A1284" t="str">
        <f ca="1">IFERROR(__xludf.DUMMYFUNCTION("""COMPUTED_VALUE"""),"km")</f>
        <v>km</v>
      </c>
      <c r="B1284" t="str">
        <f ca="1">IFERROR(__xludf.DUMMYFUNCTION("""COMPUTED_VALUE"""),"Model S 75")</f>
        <v>Model S 75</v>
      </c>
      <c r="D1284">
        <f ca="1">IFERROR(__xludf.DUMMYFUNCTION("""COMPUTED_VALUE"""),51500)</f>
        <v>51500</v>
      </c>
      <c r="E1284">
        <f ca="1">IFERROR(__xludf.DUMMYFUNCTION("""COMPUTED_VALUE"""),366)</f>
        <v>366</v>
      </c>
      <c r="F1284">
        <v>375</v>
      </c>
      <c r="G1284">
        <v>0.97599999999999998</v>
      </c>
      <c r="H1284">
        <v>32001</v>
      </c>
      <c r="I1284">
        <v>51500</v>
      </c>
      <c r="J1284">
        <v>32001</v>
      </c>
      <c r="K1284">
        <v>0.96712706690676342</v>
      </c>
      <c r="L1284">
        <f t="shared" ca="1" si="124"/>
        <v>227.421786</v>
      </c>
      <c r="M1284">
        <f t="shared" si="125"/>
        <v>233.01412500000001</v>
      </c>
      <c r="N1284">
        <v>32001</v>
      </c>
      <c r="O1284">
        <f t="shared" ca="1" si="126"/>
        <v>0.97599999999999998</v>
      </c>
    </row>
    <row r="1285" spans="1:15" x14ac:dyDescent="0.2">
      <c r="A1285" t="str">
        <f ca="1">IFERROR(__xludf.DUMMYFUNCTION("""COMPUTED_VALUE"""),"km")</f>
        <v>km</v>
      </c>
      <c r="B1285" t="str">
        <f ca="1">IFERROR(__xludf.DUMMYFUNCTION("""COMPUTED_VALUE"""),"Model X 75D")</f>
        <v>Model X 75D</v>
      </c>
      <c r="C1285">
        <f ca="1">IFERROR(__xludf.DUMMYFUNCTION("""COMPUTED_VALUE"""),373)</f>
        <v>373</v>
      </c>
      <c r="D1285">
        <f ca="1">IFERROR(__xludf.DUMMYFUNCTION("""COMPUTED_VALUE"""),8318)</f>
        <v>8318</v>
      </c>
      <c r="E1285">
        <f ca="1">IFERROR(__xludf.DUMMYFUNCTION("""COMPUTED_VALUE"""),368)</f>
        <v>368</v>
      </c>
      <c r="F1285">
        <v>377</v>
      </c>
      <c r="G1285">
        <v>0.97612732095490717</v>
      </c>
      <c r="H1285">
        <v>5169</v>
      </c>
      <c r="I1285">
        <v>8318</v>
      </c>
      <c r="J1285">
        <v>5169</v>
      </c>
      <c r="K1285">
        <v>0.99436176896134731</v>
      </c>
      <c r="L1285">
        <f t="shared" ca="1" si="124"/>
        <v>228.66452799999999</v>
      </c>
      <c r="M1285">
        <f t="shared" si="125"/>
        <v>234.256867</v>
      </c>
      <c r="N1285">
        <v>5169</v>
      </c>
      <c r="O1285">
        <f t="shared" ca="1" si="126"/>
        <v>0.97612732095490717</v>
      </c>
    </row>
    <row r="1286" spans="1:15" x14ac:dyDescent="0.2">
      <c r="A1286" t="str">
        <f ca="1">IFERROR(__xludf.DUMMYFUNCTION("""COMPUTED_VALUE"""),"km")</f>
        <v>km</v>
      </c>
      <c r="B1286" t="str">
        <f ca="1">IFERROR(__xludf.DUMMYFUNCTION("""COMPUTED_VALUE"""),"Model S 90")</f>
        <v>Model S 90</v>
      </c>
      <c r="C1286">
        <f ca="1">IFERROR(__xludf.DUMMYFUNCTION("""COMPUTED_VALUE"""),420)</f>
        <v>420</v>
      </c>
      <c r="D1286">
        <f ca="1">IFERROR(__xludf.DUMMYFUNCTION("""COMPUTED_VALUE"""),5000)</f>
        <v>5000</v>
      </c>
      <c r="E1286">
        <f ca="1">IFERROR(__xludf.DUMMYFUNCTION("""COMPUTED_VALUE"""),410)</f>
        <v>410</v>
      </c>
      <c r="F1286">
        <v>420</v>
      </c>
      <c r="G1286">
        <v>0.97619047619047616</v>
      </c>
      <c r="H1286">
        <v>3107</v>
      </c>
      <c r="I1286">
        <v>5000</v>
      </c>
      <c r="J1286">
        <v>3107</v>
      </c>
      <c r="K1286">
        <v>0.99659590614136695</v>
      </c>
      <c r="L1286">
        <f t="shared" ca="1" si="124"/>
        <v>254.76211000000001</v>
      </c>
      <c r="M1286">
        <f t="shared" si="125"/>
        <v>260.97582</v>
      </c>
      <c r="N1286">
        <v>3107</v>
      </c>
      <c r="O1286">
        <f t="shared" ca="1" si="126"/>
        <v>0.97619047619047628</v>
      </c>
    </row>
    <row r="1287" spans="1:15" x14ac:dyDescent="0.2">
      <c r="A1287" t="str">
        <f ca="1">IFERROR(__xludf.DUMMYFUNCTION("""COMPUTED_VALUE"""),"km")</f>
        <v>km</v>
      </c>
      <c r="B1287" t="str">
        <f ca="1">IFERROR(__xludf.DUMMYFUNCTION("""COMPUTED_VALUE"""),"Model S 90")</f>
        <v>Model S 90</v>
      </c>
      <c r="C1287">
        <f ca="1">IFERROR(__xludf.DUMMYFUNCTION("""COMPUTED_VALUE"""),420)</f>
        <v>420</v>
      </c>
      <c r="D1287">
        <f ca="1">IFERROR(__xludf.DUMMYFUNCTION("""COMPUTED_VALUE"""),4999)</f>
        <v>4999</v>
      </c>
      <c r="E1287">
        <f ca="1">IFERROR(__xludf.DUMMYFUNCTION("""COMPUTED_VALUE"""),410)</f>
        <v>410</v>
      </c>
      <c r="F1287">
        <v>420</v>
      </c>
      <c r="G1287">
        <v>0.97619047619047616</v>
      </c>
      <c r="H1287">
        <v>3106</v>
      </c>
      <c r="I1287">
        <v>4999</v>
      </c>
      <c r="J1287">
        <v>3106</v>
      </c>
      <c r="K1287">
        <v>0.99659658247025606</v>
      </c>
      <c r="L1287">
        <f t="shared" ca="1" si="124"/>
        <v>254.76211000000001</v>
      </c>
      <c r="M1287">
        <f t="shared" si="125"/>
        <v>260.97582</v>
      </c>
      <c r="N1287">
        <v>3106</v>
      </c>
      <c r="O1287">
        <f t="shared" ca="1" si="126"/>
        <v>0.97619047619047628</v>
      </c>
    </row>
    <row r="1288" spans="1:15" x14ac:dyDescent="0.2">
      <c r="A1288" t="str">
        <f ca="1">IFERROR(__xludf.DUMMYFUNCTION("""COMPUTED_VALUE"""),"km")</f>
        <v>km</v>
      </c>
      <c r="B1288" t="str">
        <f ca="1">IFERROR(__xludf.DUMMYFUNCTION("""COMPUTED_VALUE"""),"Model S 90")</f>
        <v>Model S 90</v>
      </c>
      <c r="C1288">
        <f ca="1">IFERROR(__xludf.DUMMYFUNCTION("""COMPUTED_VALUE"""),420)</f>
        <v>420</v>
      </c>
      <c r="D1288">
        <f ca="1">IFERROR(__xludf.DUMMYFUNCTION("""COMPUTED_VALUE"""),16667)</f>
        <v>16667</v>
      </c>
      <c r="E1288">
        <f ca="1">IFERROR(__xludf.DUMMYFUNCTION("""COMPUTED_VALUE"""),410)</f>
        <v>410</v>
      </c>
      <c r="F1288">
        <v>420</v>
      </c>
      <c r="G1288">
        <v>0.97619047619047616</v>
      </c>
      <c r="H1288">
        <v>10356</v>
      </c>
      <c r="I1288">
        <v>16667</v>
      </c>
      <c r="J1288">
        <v>10356</v>
      </c>
      <c r="K1288">
        <v>0.98882821762829332</v>
      </c>
      <c r="L1288">
        <f t="shared" ca="1" si="124"/>
        <v>254.76211000000001</v>
      </c>
      <c r="M1288">
        <f t="shared" si="125"/>
        <v>260.97582</v>
      </c>
      <c r="N1288">
        <v>10356</v>
      </c>
      <c r="O1288">
        <f t="shared" ca="1" si="126"/>
        <v>0.97619047619047628</v>
      </c>
    </row>
    <row r="1289" spans="1:15" x14ac:dyDescent="0.2">
      <c r="A1289" t="str">
        <f ca="1">IFERROR(__xludf.DUMMYFUNCTION("""COMPUTED_VALUE"""),"mi")</f>
        <v>mi</v>
      </c>
      <c r="B1289" t="str">
        <f ca="1">IFERROR(__xludf.DUMMYFUNCTION("""COMPUTED_VALUE"""),"Model S P85D")</f>
        <v>Model S P85D</v>
      </c>
      <c r="D1289">
        <f ca="1">IFERROR(__xludf.DUMMYFUNCTION("""COMPUTED_VALUE"""),16839)</f>
        <v>16839</v>
      </c>
      <c r="E1289">
        <f ca="1">IFERROR(__xludf.DUMMYFUNCTION("""COMPUTED_VALUE"""),247)</f>
        <v>247</v>
      </c>
      <c r="F1289">
        <v>253</v>
      </c>
      <c r="G1289">
        <v>0.97628458498023718</v>
      </c>
      <c r="H1289">
        <v>16839</v>
      </c>
      <c r="I1289">
        <v>27100</v>
      </c>
      <c r="J1289">
        <v>16839</v>
      </c>
      <c r="K1289">
        <v>0.98209225565516212</v>
      </c>
      <c r="L1289">
        <f ca="1">IFERROR(__xludf.DUMMYFUNCTION("""COMPUTED_VALUE"""),247)</f>
        <v>247</v>
      </c>
      <c r="M1289">
        <v>253</v>
      </c>
      <c r="N1289">
        <v>16839</v>
      </c>
      <c r="O1289">
        <f t="shared" ca="1" si="126"/>
        <v>0.97628458498023718</v>
      </c>
    </row>
    <row r="1290" spans="1:15" x14ac:dyDescent="0.2">
      <c r="A1290" t="str">
        <f ca="1">IFERROR(__xludf.DUMMYFUNCTION("""COMPUTED_VALUE"""),"km")</f>
        <v>km</v>
      </c>
      <c r="B1290" t="str">
        <f ca="1">IFERROR(__xludf.DUMMYFUNCTION("""COMPUTED_VALUE"""),"Model S 85D")</f>
        <v>Model S 85D</v>
      </c>
      <c r="D1290">
        <f ca="1">IFERROR(__xludf.DUMMYFUNCTION("""COMPUTED_VALUE"""),125120)</f>
        <v>125120</v>
      </c>
      <c r="E1290">
        <f ca="1">IFERROR(__xludf.DUMMYFUNCTION("""COMPUTED_VALUE"""),415)</f>
        <v>415</v>
      </c>
      <c r="F1290">
        <v>425</v>
      </c>
      <c r="G1290">
        <v>0.97647058823529409</v>
      </c>
      <c r="H1290">
        <v>77746</v>
      </c>
      <c r="I1290">
        <v>125120</v>
      </c>
      <c r="J1290">
        <v>77746</v>
      </c>
      <c r="K1290">
        <v>0.92895017025247295</v>
      </c>
      <c r="L1290">
        <f t="shared" ref="L1290:L1310" ca="1" si="127">E1290*0.621371</f>
        <v>257.868965</v>
      </c>
      <c r="M1290">
        <f t="shared" ref="M1290:M1310" si="128">F1290*0.621371</f>
        <v>264.08267499999999</v>
      </c>
      <c r="N1290">
        <v>77746</v>
      </c>
      <c r="O1290">
        <f t="shared" ca="1" si="126"/>
        <v>0.9764705882352942</v>
      </c>
    </row>
    <row r="1291" spans="1:15" x14ac:dyDescent="0.2">
      <c r="A1291" t="str">
        <f ca="1">IFERROR(__xludf.DUMMYFUNCTION("""COMPUTED_VALUE"""),"km")</f>
        <v>km</v>
      </c>
      <c r="B1291" t="str">
        <f ca="1">IFERROR(__xludf.DUMMYFUNCTION("""COMPUTED_VALUE"""),"Model S 85D")</f>
        <v>Model S 85D</v>
      </c>
      <c r="D1291">
        <f ca="1">IFERROR(__xludf.DUMMYFUNCTION("""COMPUTED_VALUE"""),70532)</f>
        <v>70532</v>
      </c>
      <c r="E1291">
        <f ca="1">IFERROR(__xludf.DUMMYFUNCTION("""COMPUTED_VALUE"""),415)</f>
        <v>415</v>
      </c>
      <c r="F1291">
        <v>425</v>
      </c>
      <c r="G1291">
        <v>0.97647058823529409</v>
      </c>
      <c r="H1291">
        <v>43827</v>
      </c>
      <c r="I1291">
        <v>70532</v>
      </c>
      <c r="J1291">
        <v>43827</v>
      </c>
      <c r="K1291">
        <v>0.95623681132968019</v>
      </c>
      <c r="L1291">
        <f t="shared" ca="1" si="127"/>
        <v>257.868965</v>
      </c>
      <c r="M1291">
        <f t="shared" si="128"/>
        <v>264.08267499999999</v>
      </c>
      <c r="N1291">
        <v>43827</v>
      </c>
      <c r="O1291">
        <f t="shared" ca="1" si="126"/>
        <v>0.9764705882352942</v>
      </c>
    </row>
    <row r="1292" spans="1:15" x14ac:dyDescent="0.2">
      <c r="A1292" t="str">
        <f ca="1">IFERROR(__xludf.DUMMYFUNCTION("""COMPUTED_VALUE"""),"km")</f>
        <v>km</v>
      </c>
      <c r="B1292" t="str">
        <f ca="1">IFERROR(__xludf.DUMMYFUNCTION("""COMPUTED_VALUE"""),"Model S 85D")</f>
        <v>Model S 85D</v>
      </c>
      <c r="D1292">
        <f ca="1">IFERROR(__xludf.DUMMYFUNCTION("""COMPUTED_VALUE"""),68687)</f>
        <v>68687</v>
      </c>
      <c r="E1292">
        <f ca="1">IFERROR(__xludf.DUMMYFUNCTION("""COMPUTED_VALUE"""),415)</f>
        <v>415</v>
      </c>
      <c r="F1292">
        <v>425</v>
      </c>
      <c r="G1292">
        <v>0.97647058823529409</v>
      </c>
      <c r="H1292">
        <v>42680</v>
      </c>
      <c r="I1292">
        <v>68687</v>
      </c>
      <c r="J1292">
        <v>42680</v>
      </c>
      <c r="K1292">
        <v>0.95726203751674177</v>
      </c>
      <c r="L1292">
        <f t="shared" ca="1" si="127"/>
        <v>257.868965</v>
      </c>
      <c r="M1292">
        <f t="shared" si="128"/>
        <v>264.08267499999999</v>
      </c>
      <c r="N1292">
        <v>42680</v>
      </c>
      <c r="O1292">
        <f t="shared" ca="1" si="126"/>
        <v>0.9764705882352942</v>
      </c>
    </row>
    <row r="1293" spans="1:15" x14ac:dyDescent="0.2">
      <c r="A1293" t="str">
        <f ca="1">IFERROR(__xludf.DUMMYFUNCTION("""COMPUTED_VALUE"""),"km")</f>
        <v>km</v>
      </c>
      <c r="B1293" t="str">
        <f ca="1">IFERROR(__xludf.DUMMYFUNCTION("""COMPUTED_VALUE"""),"Model S 85D")</f>
        <v>Model S 85D</v>
      </c>
      <c r="D1293">
        <f ca="1">IFERROR(__xludf.DUMMYFUNCTION("""COMPUTED_VALUE"""),67245)</f>
        <v>67245</v>
      </c>
      <c r="E1293">
        <f ca="1">IFERROR(__xludf.DUMMYFUNCTION("""COMPUTED_VALUE"""),415)</f>
        <v>415</v>
      </c>
      <c r="F1293">
        <v>425</v>
      </c>
      <c r="G1293">
        <v>0.97647058823529409</v>
      </c>
      <c r="H1293">
        <v>41784</v>
      </c>
      <c r="I1293">
        <v>67245</v>
      </c>
      <c r="J1293">
        <v>41784</v>
      </c>
      <c r="K1293">
        <v>0.95806791112155443</v>
      </c>
      <c r="L1293">
        <f t="shared" ca="1" si="127"/>
        <v>257.868965</v>
      </c>
      <c r="M1293">
        <f t="shared" si="128"/>
        <v>264.08267499999999</v>
      </c>
      <c r="N1293">
        <v>41784</v>
      </c>
      <c r="O1293">
        <f t="shared" ca="1" si="126"/>
        <v>0.9764705882352942</v>
      </c>
    </row>
    <row r="1294" spans="1:15" x14ac:dyDescent="0.2">
      <c r="A1294" t="str">
        <f ca="1">IFERROR(__xludf.DUMMYFUNCTION("""COMPUTED_VALUE"""),"km")</f>
        <v>km</v>
      </c>
      <c r="B1294" t="str">
        <f ca="1">IFERROR(__xludf.DUMMYFUNCTION("""COMPUTED_VALUE"""),"Model S 85D")</f>
        <v>Model S 85D</v>
      </c>
      <c r="D1294">
        <f ca="1">IFERROR(__xludf.DUMMYFUNCTION("""COMPUTED_VALUE"""),64468)</f>
        <v>64468</v>
      </c>
      <c r="E1294">
        <f ca="1">IFERROR(__xludf.DUMMYFUNCTION("""COMPUTED_VALUE"""),415)</f>
        <v>415</v>
      </c>
      <c r="F1294">
        <v>425</v>
      </c>
      <c r="G1294">
        <v>0.97647058823529409</v>
      </c>
      <c r="H1294">
        <v>40059</v>
      </c>
      <c r="I1294">
        <v>64468</v>
      </c>
      <c r="J1294">
        <v>40059</v>
      </c>
      <c r="K1294">
        <v>0.95963116966630935</v>
      </c>
      <c r="L1294">
        <f t="shared" ca="1" si="127"/>
        <v>257.868965</v>
      </c>
      <c r="M1294">
        <f t="shared" si="128"/>
        <v>264.08267499999999</v>
      </c>
      <c r="N1294">
        <v>40059</v>
      </c>
      <c r="O1294">
        <f t="shared" ca="1" si="126"/>
        <v>0.9764705882352942</v>
      </c>
    </row>
    <row r="1295" spans="1:15" x14ac:dyDescent="0.2">
      <c r="A1295" t="str">
        <f ca="1">IFERROR(__xludf.DUMMYFUNCTION("""COMPUTED_VALUE"""),"km")</f>
        <v>km</v>
      </c>
      <c r="B1295" t="str">
        <f ca="1">IFERROR(__xludf.DUMMYFUNCTION("""COMPUTED_VALUE"""),"Model S 85D")</f>
        <v>Model S 85D</v>
      </c>
      <c r="D1295">
        <f ca="1">IFERROR(__xludf.DUMMYFUNCTION("""COMPUTED_VALUE"""),20000)</f>
        <v>20000</v>
      </c>
      <c r="E1295">
        <f ca="1">IFERROR(__xludf.DUMMYFUNCTION("""COMPUTED_VALUE"""),415)</f>
        <v>415</v>
      </c>
      <c r="F1295">
        <v>425</v>
      </c>
      <c r="G1295">
        <v>0.97647058823529409</v>
      </c>
      <c r="H1295">
        <v>12427</v>
      </c>
      <c r="I1295">
        <v>20000</v>
      </c>
      <c r="J1295">
        <v>12427</v>
      </c>
      <c r="K1295">
        <v>0.98665460835518037</v>
      </c>
      <c r="L1295">
        <f t="shared" ca="1" si="127"/>
        <v>257.868965</v>
      </c>
      <c r="M1295">
        <f t="shared" si="128"/>
        <v>264.08267499999999</v>
      </c>
      <c r="N1295">
        <v>12427</v>
      </c>
      <c r="O1295">
        <f t="shared" ca="1" si="126"/>
        <v>0.9764705882352942</v>
      </c>
    </row>
    <row r="1296" spans="1:15" x14ac:dyDescent="0.2">
      <c r="A1296" t="str">
        <f ca="1">IFERROR(__xludf.DUMMYFUNCTION("""COMPUTED_VALUE"""),"km")</f>
        <v>km</v>
      </c>
      <c r="B1296" t="str">
        <f ca="1">IFERROR(__xludf.DUMMYFUNCTION("""COMPUTED_VALUE"""),"Model S 75D")</f>
        <v>Model S 75D</v>
      </c>
      <c r="D1296">
        <f ca="1">IFERROR(__xludf.DUMMYFUNCTION("""COMPUTED_VALUE"""),23357)</f>
        <v>23357</v>
      </c>
      <c r="E1296">
        <f ca="1">IFERROR(__xludf.DUMMYFUNCTION("""COMPUTED_VALUE"""),375)</f>
        <v>375</v>
      </c>
      <c r="F1296">
        <v>384</v>
      </c>
      <c r="G1296">
        <v>0.9765625</v>
      </c>
      <c r="H1296">
        <v>14513</v>
      </c>
      <c r="I1296">
        <v>23357</v>
      </c>
      <c r="J1296">
        <v>14513</v>
      </c>
      <c r="K1296">
        <v>0.98448590413502035</v>
      </c>
      <c r="L1296">
        <f t="shared" ca="1" si="127"/>
        <v>233.01412500000001</v>
      </c>
      <c r="M1296">
        <f t="shared" si="128"/>
        <v>238.60646400000002</v>
      </c>
      <c r="N1296">
        <v>14513</v>
      </c>
      <c r="O1296">
        <f t="shared" ca="1" si="126"/>
        <v>0.9765625</v>
      </c>
    </row>
    <row r="1297" spans="1:15" x14ac:dyDescent="0.2">
      <c r="A1297" t="str">
        <f ca="1">IFERROR(__xludf.DUMMYFUNCTION("""COMPUTED_VALUE"""),"km")</f>
        <v>km</v>
      </c>
      <c r="B1297" t="str">
        <f ca="1">IFERROR(__xludf.DUMMYFUNCTION("""COMPUTED_VALUE"""),"Model S P100D")</f>
        <v>Model S P100D</v>
      </c>
      <c r="C1297">
        <f ca="1">IFERROR(__xludf.DUMMYFUNCTION("""COMPUTED_VALUE"""),488)</f>
        <v>488</v>
      </c>
      <c r="D1297">
        <f ca="1">IFERROR(__xludf.DUMMYFUNCTION("""COMPUTED_VALUE"""),19588.87)</f>
        <v>19588.87</v>
      </c>
      <c r="E1297">
        <f ca="1">IFERROR(__xludf.DUMMYFUNCTION("""COMPUTED_VALUE"""),471.68)</f>
        <v>471.68</v>
      </c>
      <c r="F1297">
        <v>483</v>
      </c>
      <c r="G1297">
        <v>0.97656314699792957</v>
      </c>
      <c r="H1297">
        <v>12172</v>
      </c>
      <c r="I1297">
        <v>19588.87</v>
      </c>
      <c r="J1297">
        <v>12172</v>
      </c>
      <c r="K1297">
        <v>0.98692162798139482</v>
      </c>
      <c r="L1297">
        <f t="shared" ca="1" si="127"/>
        <v>293.08827328000001</v>
      </c>
      <c r="M1297">
        <f t="shared" si="128"/>
        <v>300.12219299999998</v>
      </c>
      <c r="N1297">
        <v>12172</v>
      </c>
      <c r="O1297">
        <f t="shared" ca="1" si="126"/>
        <v>0.97656314699792968</v>
      </c>
    </row>
    <row r="1298" spans="1:15" x14ac:dyDescent="0.2">
      <c r="A1298" t="str">
        <f ca="1">IFERROR(__xludf.DUMMYFUNCTION("""COMPUTED_VALUE"""),"km")</f>
        <v>km</v>
      </c>
      <c r="B1298" t="str">
        <f ca="1">IFERROR(__xludf.DUMMYFUNCTION("""COMPUTED_VALUE"""),"Model S P85")</f>
        <v>Model S P85</v>
      </c>
      <c r="C1298">
        <f ca="1">IFERROR(__xludf.DUMMYFUNCTION("""COMPUTED_VALUE"""),425)</f>
        <v>425</v>
      </c>
      <c r="D1298">
        <f ca="1">IFERROR(__xludf.DUMMYFUNCTION("""COMPUTED_VALUE"""),60113)</f>
        <v>60113</v>
      </c>
      <c r="E1298">
        <f ca="1">IFERROR(__xludf.DUMMYFUNCTION("""COMPUTED_VALUE"""),418)</f>
        <v>418</v>
      </c>
      <c r="F1298">
        <v>428</v>
      </c>
      <c r="G1298">
        <v>0.97663551401869164</v>
      </c>
      <c r="H1298">
        <v>37352</v>
      </c>
      <c r="I1298">
        <v>60113</v>
      </c>
      <c r="J1298">
        <v>37352</v>
      </c>
      <c r="K1298">
        <v>0.96211261666021153</v>
      </c>
      <c r="L1298">
        <f t="shared" ca="1" si="127"/>
        <v>259.73307799999998</v>
      </c>
      <c r="M1298">
        <f t="shared" si="128"/>
        <v>265.94678800000003</v>
      </c>
      <c r="N1298">
        <v>37352</v>
      </c>
      <c r="O1298">
        <f t="shared" ca="1" si="126"/>
        <v>0.97663551401869142</v>
      </c>
    </row>
    <row r="1299" spans="1:15" x14ac:dyDescent="0.2">
      <c r="A1299" t="str">
        <f ca="1">IFERROR(__xludf.DUMMYFUNCTION("""COMPUTED_VALUE"""),"km")</f>
        <v>km</v>
      </c>
      <c r="B1299" t="str">
        <f ca="1">IFERROR(__xludf.DUMMYFUNCTION("""COMPUTED_VALUE"""),"Model S P85")</f>
        <v>Model S P85</v>
      </c>
      <c r="C1299">
        <f ca="1">IFERROR(__xludf.DUMMYFUNCTION("""COMPUTED_VALUE"""),400)</f>
        <v>400</v>
      </c>
      <c r="D1299">
        <f ca="1">IFERROR(__xludf.DUMMYFUNCTION("""COMPUTED_VALUE"""),50000)</f>
        <v>50000</v>
      </c>
      <c r="E1299">
        <f ca="1">IFERROR(__xludf.DUMMYFUNCTION("""COMPUTED_VALUE"""),386)</f>
        <v>386</v>
      </c>
      <c r="F1299">
        <v>395</v>
      </c>
      <c r="G1299">
        <v>0.97721518987341771</v>
      </c>
      <c r="H1299">
        <v>31069</v>
      </c>
      <c r="I1299">
        <v>50000</v>
      </c>
      <c r="J1299">
        <v>31069</v>
      </c>
      <c r="K1299">
        <v>0.96801478944655506</v>
      </c>
      <c r="L1299">
        <f t="shared" ca="1" si="127"/>
        <v>239.84920600000001</v>
      </c>
      <c r="M1299">
        <f t="shared" si="128"/>
        <v>245.44154499999999</v>
      </c>
      <c r="N1299">
        <v>31069</v>
      </c>
      <c r="O1299">
        <f t="shared" ca="1" si="126"/>
        <v>0.97721518987341782</v>
      </c>
    </row>
    <row r="1300" spans="1:15" x14ac:dyDescent="0.2">
      <c r="A1300" t="str">
        <f ca="1">IFERROR(__xludf.DUMMYFUNCTION("""COMPUTED_VALUE"""),"km")</f>
        <v>km</v>
      </c>
      <c r="B1300" t="str">
        <f ca="1">IFERROR(__xludf.DUMMYFUNCTION("""COMPUTED_VALUE"""),"Model S 85")</f>
        <v>Model S 85</v>
      </c>
      <c r="D1300">
        <f ca="1">IFERROR(__xludf.DUMMYFUNCTION("""COMPUTED_VALUE"""),37970)</f>
        <v>37970</v>
      </c>
      <c r="E1300">
        <f ca="1">IFERROR(__xludf.DUMMYFUNCTION("""COMPUTED_VALUE"""),386)</f>
        <v>386</v>
      </c>
      <c r="F1300">
        <v>395</v>
      </c>
      <c r="G1300">
        <v>0.97721518987341771</v>
      </c>
      <c r="H1300">
        <v>23593</v>
      </c>
      <c r="I1300">
        <v>37970</v>
      </c>
      <c r="J1300">
        <v>23593</v>
      </c>
      <c r="K1300">
        <v>0.9752878554805976</v>
      </c>
      <c r="L1300">
        <f t="shared" ca="1" si="127"/>
        <v>239.84920600000001</v>
      </c>
      <c r="M1300">
        <f t="shared" si="128"/>
        <v>245.44154499999999</v>
      </c>
      <c r="N1300">
        <v>23593</v>
      </c>
      <c r="O1300">
        <f t="shared" ca="1" si="126"/>
        <v>0.97721518987341782</v>
      </c>
    </row>
    <row r="1301" spans="1:15" x14ac:dyDescent="0.2">
      <c r="A1301" t="str">
        <f ca="1">IFERROR(__xludf.DUMMYFUNCTION("""COMPUTED_VALUE"""),"km")</f>
        <v>km</v>
      </c>
      <c r="B1301" t="str">
        <f ca="1">IFERROR(__xludf.DUMMYFUNCTION("""COMPUTED_VALUE"""),"Model S P85")</f>
        <v>Model S P85</v>
      </c>
      <c r="C1301">
        <f ca="1">IFERROR(__xludf.DUMMYFUNCTION("""COMPUTED_VALUE"""),398)</f>
        <v>398</v>
      </c>
      <c r="D1301">
        <f ca="1">IFERROR(__xludf.DUMMYFUNCTION("""COMPUTED_VALUE"""),20500)</f>
        <v>20500</v>
      </c>
      <c r="E1301">
        <f ca="1">IFERROR(__xludf.DUMMYFUNCTION("""COMPUTED_VALUE"""),386)</f>
        <v>386</v>
      </c>
      <c r="F1301">
        <v>395</v>
      </c>
      <c r="G1301">
        <v>0.97721518987341771</v>
      </c>
      <c r="H1301">
        <v>12738</v>
      </c>
      <c r="I1301">
        <v>20500</v>
      </c>
      <c r="J1301">
        <v>12738</v>
      </c>
      <c r="K1301">
        <v>0.98633028667459532</v>
      </c>
      <c r="L1301">
        <f t="shared" ca="1" si="127"/>
        <v>239.84920600000001</v>
      </c>
      <c r="M1301">
        <f t="shared" si="128"/>
        <v>245.44154499999999</v>
      </c>
      <c r="N1301">
        <v>12738</v>
      </c>
      <c r="O1301">
        <f t="shared" ca="1" si="126"/>
        <v>0.97721518987341782</v>
      </c>
    </row>
    <row r="1302" spans="1:15" x14ac:dyDescent="0.2">
      <c r="A1302" t="str">
        <f ca="1">IFERROR(__xludf.DUMMYFUNCTION("""COMPUTED_VALUE"""),"km")</f>
        <v>km</v>
      </c>
      <c r="B1302" t="str">
        <f ca="1">IFERROR(__xludf.DUMMYFUNCTION("""COMPUTED_VALUE"""),"Model S 85")</f>
        <v>Model S 85</v>
      </c>
      <c r="C1302">
        <f ca="1">IFERROR(__xludf.DUMMYFUNCTION("""COMPUTED_VALUE"""),392)</f>
        <v>392</v>
      </c>
      <c r="D1302">
        <f ca="1">IFERROR(__xludf.DUMMYFUNCTION("""COMPUTED_VALUE"""),54000)</f>
        <v>54000</v>
      </c>
      <c r="E1302">
        <f ca="1">IFERROR(__xludf.DUMMYFUNCTION("""COMPUTED_VALUE"""),386)</f>
        <v>386</v>
      </c>
      <c r="F1302">
        <v>395</v>
      </c>
      <c r="G1302">
        <v>0.97721518987341771</v>
      </c>
      <c r="H1302">
        <v>33554</v>
      </c>
      <c r="I1302">
        <v>54000</v>
      </c>
      <c r="J1302">
        <v>33554</v>
      </c>
      <c r="K1302">
        <v>0.96565701932832937</v>
      </c>
      <c r="L1302">
        <f t="shared" ca="1" si="127"/>
        <v>239.84920600000001</v>
      </c>
      <c r="M1302">
        <f t="shared" si="128"/>
        <v>245.44154499999999</v>
      </c>
      <c r="N1302">
        <v>33554</v>
      </c>
      <c r="O1302">
        <f t="shared" ca="1" si="126"/>
        <v>0.97721518987341782</v>
      </c>
    </row>
    <row r="1303" spans="1:15" x14ac:dyDescent="0.2">
      <c r="A1303" t="str">
        <f ca="1">IFERROR(__xludf.DUMMYFUNCTION("""COMPUTED_VALUE"""),"km")</f>
        <v>km</v>
      </c>
      <c r="B1303" t="str">
        <f ca="1">IFERROR(__xludf.DUMMYFUNCTION("""COMPUTED_VALUE"""),"Model S 85")</f>
        <v>Model S 85</v>
      </c>
      <c r="C1303">
        <f ca="1">IFERROR(__xludf.DUMMYFUNCTION("""COMPUTED_VALUE"""),396)</f>
        <v>396</v>
      </c>
      <c r="D1303">
        <f ca="1">IFERROR(__xludf.DUMMYFUNCTION("""COMPUTED_VALUE"""),49200)</f>
        <v>49200</v>
      </c>
      <c r="E1303">
        <f ca="1">IFERROR(__xludf.DUMMYFUNCTION("""COMPUTED_VALUE"""),386)</f>
        <v>386</v>
      </c>
      <c r="F1303">
        <v>395</v>
      </c>
      <c r="G1303">
        <v>0.97721518987341771</v>
      </c>
      <c r="H1303">
        <v>30571</v>
      </c>
      <c r="I1303">
        <v>49200</v>
      </c>
      <c r="J1303">
        <v>30571</v>
      </c>
      <c r="K1303">
        <v>0.9684899844559689</v>
      </c>
      <c r="L1303">
        <f t="shared" ca="1" si="127"/>
        <v>239.84920600000001</v>
      </c>
      <c r="M1303">
        <f t="shared" si="128"/>
        <v>245.44154499999999</v>
      </c>
      <c r="N1303">
        <v>30571</v>
      </c>
      <c r="O1303">
        <f t="shared" ca="1" si="126"/>
        <v>0.97721518987341782</v>
      </c>
    </row>
    <row r="1304" spans="1:15" x14ac:dyDescent="0.2">
      <c r="A1304" t="str">
        <f ca="1">IFERROR(__xludf.DUMMYFUNCTION("""COMPUTED_VALUE"""),"km")</f>
        <v>km</v>
      </c>
      <c r="B1304" t="str">
        <f ca="1">IFERROR(__xludf.DUMMYFUNCTION("""COMPUTED_VALUE"""),"Model S 85")</f>
        <v>Model S 85</v>
      </c>
      <c r="D1304">
        <f ca="1">IFERROR(__xludf.DUMMYFUNCTION("""COMPUTED_VALUE"""),40108)</f>
        <v>40108</v>
      </c>
      <c r="E1304">
        <f ca="1">IFERROR(__xludf.DUMMYFUNCTION("""COMPUTED_VALUE"""),386)</f>
        <v>386</v>
      </c>
      <c r="F1304">
        <v>395</v>
      </c>
      <c r="G1304">
        <v>0.97721518987341771</v>
      </c>
      <c r="H1304">
        <v>24922</v>
      </c>
      <c r="I1304">
        <v>40108</v>
      </c>
      <c r="J1304">
        <v>24922</v>
      </c>
      <c r="K1304">
        <v>0.97397540567732166</v>
      </c>
      <c r="L1304">
        <f t="shared" ca="1" si="127"/>
        <v>239.84920600000001</v>
      </c>
      <c r="M1304">
        <f t="shared" si="128"/>
        <v>245.44154499999999</v>
      </c>
      <c r="N1304">
        <v>24922</v>
      </c>
      <c r="O1304">
        <f t="shared" ca="1" si="126"/>
        <v>0.97721518987341782</v>
      </c>
    </row>
    <row r="1305" spans="1:15" x14ac:dyDescent="0.2">
      <c r="A1305" t="str">
        <f ca="1">IFERROR(__xludf.DUMMYFUNCTION("""COMPUTED_VALUE"""),"km")</f>
        <v>km</v>
      </c>
      <c r="B1305" t="str">
        <f ca="1">IFERROR(__xludf.DUMMYFUNCTION("""COMPUTED_VALUE"""),"Model S 85")</f>
        <v>Model S 85</v>
      </c>
      <c r="C1305">
        <f ca="1">IFERROR(__xludf.DUMMYFUNCTION("""COMPUTED_VALUE"""),398)</f>
        <v>398</v>
      </c>
      <c r="D1305">
        <f ca="1">IFERROR(__xludf.DUMMYFUNCTION("""COMPUTED_VALUE"""),21956)</f>
        <v>21956</v>
      </c>
      <c r="E1305">
        <f ca="1">IFERROR(__xludf.DUMMYFUNCTION("""COMPUTED_VALUE"""),386)</f>
        <v>386</v>
      </c>
      <c r="F1305">
        <v>395</v>
      </c>
      <c r="G1305">
        <v>0.97721518987341771</v>
      </c>
      <c r="H1305">
        <v>13643</v>
      </c>
      <c r="I1305">
        <v>21956</v>
      </c>
      <c r="J1305">
        <v>13643</v>
      </c>
      <c r="K1305">
        <v>0.98538847111685102</v>
      </c>
      <c r="L1305">
        <f t="shared" ca="1" si="127"/>
        <v>239.84920600000001</v>
      </c>
      <c r="M1305">
        <f t="shared" si="128"/>
        <v>245.44154499999999</v>
      </c>
      <c r="N1305">
        <v>13643</v>
      </c>
      <c r="O1305">
        <f t="shared" ca="1" si="126"/>
        <v>0.97721518987341782</v>
      </c>
    </row>
    <row r="1306" spans="1:15" x14ac:dyDescent="0.2">
      <c r="A1306" t="str">
        <f ca="1">IFERROR(__xludf.DUMMYFUNCTION("""COMPUTED_VALUE"""),"km")</f>
        <v>km</v>
      </c>
      <c r="B1306" t="str">
        <f ca="1">IFERROR(__xludf.DUMMYFUNCTION("""COMPUTED_VALUE"""),"Model S 85")</f>
        <v>Model S 85</v>
      </c>
      <c r="D1306">
        <f ca="1">IFERROR(__xludf.DUMMYFUNCTION("""COMPUTED_VALUE"""),14472)</f>
        <v>14472</v>
      </c>
      <c r="E1306">
        <f ca="1">IFERROR(__xludf.DUMMYFUNCTION("""COMPUTED_VALUE"""),386)</f>
        <v>386</v>
      </c>
      <c r="F1306">
        <v>395</v>
      </c>
      <c r="G1306">
        <v>0.97721518987341771</v>
      </c>
      <c r="H1306">
        <v>8992</v>
      </c>
      <c r="I1306">
        <v>14472</v>
      </c>
      <c r="J1306">
        <v>8992</v>
      </c>
      <c r="K1306">
        <v>0.99027075167575962</v>
      </c>
      <c r="L1306">
        <f t="shared" ca="1" si="127"/>
        <v>239.84920600000001</v>
      </c>
      <c r="M1306">
        <f t="shared" si="128"/>
        <v>245.44154499999999</v>
      </c>
      <c r="N1306">
        <v>8992</v>
      </c>
      <c r="O1306">
        <f t="shared" ca="1" si="126"/>
        <v>0.97721518987341782</v>
      </c>
    </row>
    <row r="1307" spans="1:15" x14ac:dyDescent="0.2">
      <c r="A1307" t="str">
        <f ca="1">IFERROR(__xludf.DUMMYFUNCTION("""COMPUTED_VALUE"""),"km")</f>
        <v>km</v>
      </c>
      <c r="B1307" t="str">
        <f ca="1">IFERROR(__xludf.DUMMYFUNCTION("""COMPUTED_VALUE"""),"Unspecified 85 kWh")</f>
        <v>Unspecified 85 kWh</v>
      </c>
      <c r="D1307">
        <f ca="1">IFERROR(__xludf.DUMMYFUNCTION("""COMPUTED_VALUE"""),50000)</f>
        <v>50000</v>
      </c>
      <c r="E1307">
        <f ca="1">IFERROR(__xludf.DUMMYFUNCTION("""COMPUTED_VALUE"""),386)</f>
        <v>386</v>
      </c>
      <c r="F1307">
        <v>395</v>
      </c>
      <c r="G1307">
        <v>0.97721518987341771</v>
      </c>
      <c r="H1307">
        <v>31069</v>
      </c>
      <c r="I1307">
        <v>50000</v>
      </c>
      <c r="J1307">
        <v>31069</v>
      </c>
      <c r="K1307">
        <v>0.96801478944655506</v>
      </c>
      <c r="L1307">
        <f t="shared" ca="1" si="127"/>
        <v>239.84920600000001</v>
      </c>
      <c r="M1307">
        <f t="shared" si="128"/>
        <v>245.44154499999999</v>
      </c>
      <c r="N1307">
        <v>31069</v>
      </c>
      <c r="O1307">
        <f t="shared" ca="1" si="126"/>
        <v>0.97721518987341782</v>
      </c>
    </row>
    <row r="1308" spans="1:15" x14ac:dyDescent="0.2">
      <c r="A1308" t="str">
        <f ca="1">IFERROR(__xludf.DUMMYFUNCTION("""COMPUTED_VALUE"""),"km")</f>
        <v>km</v>
      </c>
      <c r="B1308" t="str">
        <f ca="1">IFERROR(__xludf.DUMMYFUNCTION("""COMPUTED_VALUE"""),"Model S 85")</f>
        <v>Model S 85</v>
      </c>
      <c r="D1308">
        <f ca="1">IFERROR(__xludf.DUMMYFUNCTION("""COMPUTED_VALUE"""),17800)</f>
        <v>17800</v>
      </c>
      <c r="E1308">
        <f ca="1">IFERROR(__xludf.DUMMYFUNCTION("""COMPUTED_VALUE"""),386)</f>
        <v>386</v>
      </c>
      <c r="F1308">
        <v>395</v>
      </c>
      <c r="G1308">
        <v>0.97721518987341771</v>
      </c>
      <c r="H1308">
        <v>11060</v>
      </c>
      <c r="I1308">
        <v>17800</v>
      </c>
      <c r="J1308">
        <v>11060</v>
      </c>
      <c r="K1308">
        <v>0.98808705721130963</v>
      </c>
      <c r="L1308">
        <f t="shared" ca="1" si="127"/>
        <v>239.84920600000001</v>
      </c>
      <c r="M1308">
        <f t="shared" si="128"/>
        <v>245.44154499999999</v>
      </c>
      <c r="N1308">
        <v>11060</v>
      </c>
      <c r="O1308">
        <f t="shared" ca="1" si="126"/>
        <v>0.97721518987341782</v>
      </c>
    </row>
    <row r="1309" spans="1:15" x14ac:dyDescent="0.2">
      <c r="A1309" t="str">
        <f ca="1">IFERROR(__xludf.DUMMYFUNCTION("""COMPUTED_VALUE"""),"km")</f>
        <v>km</v>
      </c>
      <c r="B1309" t="str">
        <f ca="1">IFERROR(__xludf.DUMMYFUNCTION("""COMPUTED_VALUE"""),"Model S 85")</f>
        <v>Model S 85</v>
      </c>
      <c r="D1309">
        <f ca="1">IFERROR(__xludf.DUMMYFUNCTION("""COMPUTED_VALUE"""),49600)</f>
        <v>49600</v>
      </c>
      <c r="E1309">
        <f ca="1">IFERROR(__xludf.DUMMYFUNCTION("""COMPUTED_VALUE"""),386)</f>
        <v>386</v>
      </c>
      <c r="F1309">
        <v>395</v>
      </c>
      <c r="G1309">
        <v>0.97721518987341771</v>
      </c>
      <c r="H1309">
        <v>30820</v>
      </c>
      <c r="I1309">
        <v>49600</v>
      </c>
      <c r="J1309">
        <v>30820</v>
      </c>
      <c r="K1309">
        <v>0.96825223549603301</v>
      </c>
      <c r="L1309">
        <f t="shared" ca="1" si="127"/>
        <v>239.84920600000001</v>
      </c>
      <c r="M1309">
        <f t="shared" si="128"/>
        <v>245.44154499999999</v>
      </c>
      <c r="N1309">
        <v>30820</v>
      </c>
      <c r="O1309">
        <f t="shared" ca="1" si="126"/>
        <v>0.97721518987341782</v>
      </c>
    </row>
    <row r="1310" spans="1:15" x14ac:dyDescent="0.2">
      <c r="A1310" t="str">
        <f ca="1">IFERROR(__xludf.DUMMYFUNCTION("""COMPUTED_VALUE"""),"km")</f>
        <v>km</v>
      </c>
      <c r="B1310" t="str">
        <f ca="1">IFERROR(__xludf.DUMMYFUNCTION("""COMPUTED_VALUE"""),"Model S P100D")</f>
        <v>Model S P100D</v>
      </c>
      <c r="D1310">
        <f ca="1">IFERROR(__xludf.DUMMYFUNCTION("""COMPUTED_VALUE"""),16476)</f>
        <v>16476</v>
      </c>
      <c r="E1310">
        <f ca="1">IFERROR(__xludf.DUMMYFUNCTION("""COMPUTED_VALUE"""),472)</f>
        <v>472</v>
      </c>
      <c r="F1310">
        <v>483</v>
      </c>
      <c r="G1310">
        <v>0.97722567287784678</v>
      </c>
      <c r="H1310">
        <v>10238</v>
      </c>
      <c r="I1310">
        <v>16476</v>
      </c>
      <c r="J1310">
        <v>10238</v>
      </c>
      <c r="K1310">
        <v>0.98895339238157143</v>
      </c>
      <c r="L1310">
        <f t="shared" ca="1" si="127"/>
        <v>293.28711199999998</v>
      </c>
      <c r="M1310">
        <f t="shared" si="128"/>
        <v>300.12219299999998</v>
      </c>
      <c r="N1310">
        <v>10238</v>
      </c>
      <c r="O1310">
        <f t="shared" ca="1" si="126"/>
        <v>0.97722567287784678</v>
      </c>
    </row>
    <row r="1311" spans="1:15" x14ac:dyDescent="0.2">
      <c r="A1311" t="str">
        <f ca="1">IFERROR(__xludf.DUMMYFUNCTION("""COMPUTED_VALUE"""),"mi")</f>
        <v>mi</v>
      </c>
      <c r="B1311" t="str">
        <f ca="1">IFERROR(__xludf.DUMMYFUNCTION("""COMPUTED_VALUE"""),"Model 3 SR")</f>
        <v>Model 3 SR</v>
      </c>
      <c r="C1311">
        <f ca="1">IFERROR(__xludf.DUMMYFUNCTION("""COMPUTED_VALUE"""),215)</f>
        <v>215</v>
      </c>
      <c r="D1311">
        <f ca="1">IFERROR(__xludf.DUMMYFUNCTION("""COMPUTED_VALUE"""),215)</f>
        <v>215</v>
      </c>
      <c r="E1311">
        <f ca="1">IFERROR(__xludf.DUMMYFUNCTION("""COMPUTED_VALUE"""),215)</f>
        <v>215</v>
      </c>
      <c r="F1311">
        <v>220</v>
      </c>
      <c r="G1311">
        <v>0.97727272727272729</v>
      </c>
      <c r="H1311">
        <v>215</v>
      </c>
      <c r="I1311">
        <v>346</v>
      </c>
      <c r="J1311">
        <v>215</v>
      </c>
      <c r="K1311">
        <v>0.99976299296299298</v>
      </c>
      <c r="L1311">
        <f ca="1">IFERROR(__xludf.DUMMYFUNCTION("""COMPUTED_VALUE"""),215)</f>
        <v>215</v>
      </c>
      <c r="M1311">
        <v>220</v>
      </c>
      <c r="N1311">
        <v>215</v>
      </c>
      <c r="O1311">
        <f t="shared" ca="1" si="126"/>
        <v>0.97727272727272729</v>
      </c>
    </row>
    <row r="1312" spans="1:15" x14ac:dyDescent="0.2">
      <c r="A1312" t="str">
        <f ca="1">IFERROR(__xludf.DUMMYFUNCTION("""COMPUTED_VALUE"""),"mi")</f>
        <v>mi</v>
      </c>
      <c r="B1312" t="str">
        <f ca="1">IFERROR(__xludf.DUMMYFUNCTION("""COMPUTED_VALUE"""),"Model S 85")</f>
        <v>Model S 85</v>
      </c>
      <c r="C1312">
        <f ca="1">IFERROR(__xludf.DUMMYFUNCTION("""COMPUTED_VALUE"""),272)</f>
        <v>272</v>
      </c>
      <c r="D1312">
        <f ca="1">IFERROR(__xludf.DUMMYFUNCTION("""COMPUTED_VALUE"""),55267)</f>
        <v>55267</v>
      </c>
      <c r="E1312">
        <f ca="1">IFERROR(__xludf.DUMMYFUNCTION("""COMPUTED_VALUE"""),260)</f>
        <v>260</v>
      </c>
      <c r="F1312">
        <v>266</v>
      </c>
      <c r="G1312">
        <v>0.97744360902255634</v>
      </c>
      <c r="H1312">
        <v>55267</v>
      </c>
      <c r="I1312">
        <v>88944</v>
      </c>
      <c r="J1312">
        <v>55267</v>
      </c>
      <c r="K1312">
        <v>0.94636948812364829</v>
      </c>
      <c r="L1312">
        <f ca="1">IFERROR(__xludf.DUMMYFUNCTION("""COMPUTED_VALUE"""),260)</f>
        <v>260</v>
      </c>
      <c r="M1312">
        <v>266</v>
      </c>
      <c r="N1312">
        <v>55267</v>
      </c>
      <c r="O1312">
        <f t="shared" ca="1" si="126"/>
        <v>0.97744360902255634</v>
      </c>
    </row>
    <row r="1313" spans="1:15" x14ac:dyDescent="0.2">
      <c r="A1313" t="str">
        <f ca="1">IFERROR(__xludf.DUMMYFUNCTION("""COMPUTED_VALUE"""),"mi")</f>
        <v>mi</v>
      </c>
      <c r="B1313" t="str">
        <f ca="1">IFERROR(__xludf.DUMMYFUNCTION("""COMPUTED_VALUE"""),"Model S P85")</f>
        <v>Model S P85</v>
      </c>
      <c r="D1313">
        <f ca="1">IFERROR(__xludf.DUMMYFUNCTION("""COMPUTED_VALUE"""),49503)</f>
        <v>49503</v>
      </c>
      <c r="E1313">
        <f ca="1">IFERROR(__xludf.DUMMYFUNCTION("""COMPUTED_VALUE"""),260)</f>
        <v>260</v>
      </c>
      <c r="F1313">
        <v>266</v>
      </c>
      <c r="G1313">
        <v>0.97744360902255634</v>
      </c>
      <c r="H1313">
        <v>49503</v>
      </c>
      <c r="I1313">
        <v>79667</v>
      </c>
      <c r="J1313">
        <v>49503</v>
      </c>
      <c r="K1313">
        <v>0.95125818945921947</v>
      </c>
      <c r="L1313">
        <f ca="1">IFERROR(__xludf.DUMMYFUNCTION("""COMPUTED_VALUE"""),260)</f>
        <v>260</v>
      </c>
      <c r="M1313">
        <v>266</v>
      </c>
      <c r="N1313">
        <v>49503</v>
      </c>
      <c r="O1313">
        <f t="shared" ca="1" si="126"/>
        <v>0.97744360902255634</v>
      </c>
    </row>
    <row r="1314" spans="1:15" x14ac:dyDescent="0.2">
      <c r="A1314" t="str">
        <f ca="1">IFERROR(__xludf.DUMMYFUNCTION("""COMPUTED_VALUE"""),"mi")</f>
        <v>mi</v>
      </c>
      <c r="B1314" t="str">
        <f ca="1">IFERROR(__xludf.DUMMYFUNCTION("""COMPUTED_VALUE"""),"Model S P85")</f>
        <v>Model S P85</v>
      </c>
      <c r="D1314">
        <f ca="1">IFERROR(__xludf.DUMMYFUNCTION("""COMPUTED_VALUE"""),34500)</f>
        <v>34500</v>
      </c>
      <c r="E1314">
        <f ca="1">IFERROR(__xludf.DUMMYFUNCTION("""COMPUTED_VALUE"""),260)</f>
        <v>260</v>
      </c>
      <c r="F1314">
        <v>266</v>
      </c>
      <c r="G1314">
        <v>0.97744360902255634</v>
      </c>
      <c r="H1314">
        <v>34500</v>
      </c>
      <c r="I1314">
        <v>55522</v>
      </c>
      <c r="J1314">
        <v>34500</v>
      </c>
      <c r="K1314">
        <v>0.96476787579623946</v>
      </c>
      <c r="L1314">
        <f ca="1">IFERROR(__xludf.DUMMYFUNCTION("""COMPUTED_VALUE"""),260)</f>
        <v>260</v>
      </c>
      <c r="M1314">
        <v>266</v>
      </c>
      <c r="N1314">
        <v>34500</v>
      </c>
      <c r="O1314">
        <f t="shared" ca="1" si="126"/>
        <v>0.97744360902255634</v>
      </c>
    </row>
    <row r="1315" spans="1:15" x14ac:dyDescent="0.2">
      <c r="A1315" t="str">
        <f ca="1">IFERROR(__xludf.DUMMYFUNCTION("""COMPUTED_VALUE"""),"mi")</f>
        <v>mi</v>
      </c>
      <c r="B1315" t="str">
        <f ca="1">IFERROR(__xludf.DUMMYFUNCTION("""COMPUTED_VALUE"""),"Model S 85")</f>
        <v>Model S 85</v>
      </c>
      <c r="C1315">
        <f ca="1">IFERROR(__xludf.DUMMYFUNCTION("""COMPUTED_VALUE"""),266)</f>
        <v>266</v>
      </c>
      <c r="D1315">
        <f ca="1">IFERROR(__xludf.DUMMYFUNCTION("""COMPUTED_VALUE"""),20240)</f>
        <v>20240</v>
      </c>
      <c r="E1315">
        <f ca="1">IFERROR(__xludf.DUMMYFUNCTION("""COMPUTED_VALUE"""),260)</f>
        <v>260</v>
      </c>
      <c r="F1315">
        <v>266</v>
      </c>
      <c r="G1315">
        <v>0.97744360902255634</v>
      </c>
      <c r="H1315">
        <v>20240</v>
      </c>
      <c r="I1315">
        <v>32573</v>
      </c>
      <c r="J1315">
        <v>20240</v>
      </c>
      <c r="K1315">
        <v>0.97863884403563806</v>
      </c>
      <c r="L1315">
        <f ca="1">IFERROR(__xludf.DUMMYFUNCTION("""COMPUTED_VALUE"""),260)</f>
        <v>260</v>
      </c>
      <c r="M1315">
        <v>266</v>
      </c>
      <c r="N1315">
        <v>20240</v>
      </c>
      <c r="O1315">
        <f t="shared" ca="1" si="126"/>
        <v>0.97744360902255634</v>
      </c>
    </row>
    <row r="1316" spans="1:15" x14ac:dyDescent="0.2">
      <c r="A1316" t="str">
        <f ca="1">IFERROR(__xludf.DUMMYFUNCTION("""COMPUTED_VALUE"""),"km")</f>
        <v>km</v>
      </c>
      <c r="B1316" t="str">
        <f ca="1">IFERROR(__xludf.DUMMYFUNCTION("""COMPUTED_VALUE"""),"Model S P85D")</f>
        <v>Model S P85D</v>
      </c>
      <c r="C1316">
        <f ca="1">IFERROR(__xludf.DUMMYFUNCTION("""COMPUTED_VALUE"""),406)</f>
        <v>406</v>
      </c>
      <c r="D1316">
        <f ca="1">IFERROR(__xludf.DUMMYFUNCTION("""COMPUTED_VALUE"""),11743)</f>
        <v>11743</v>
      </c>
      <c r="E1316">
        <f ca="1">IFERROR(__xludf.DUMMYFUNCTION("""COMPUTED_VALUE"""),394)</f>
        <v>394</v>
      </c>
      <c r="F1316">
        <v>403</v>
      </c>
      <c r="G1316">
        <v>0.97766749379652607</v>
      </c>
      <c r="H1316">
        <v>7297</v>
      </c>
      <c r="I1316">
        <v>11743</v>
      </c>
      <c r="J1316">
        <v>7297</v>
      </c>
      <c r="K1316">
        <v>0.99207644585694443</v>
      </c>
      <c r="L1316">
        <f t="shared" ref="L1316:L1331" ca="1" si="129">E1316*0.621371</f>
        <v>244.82017400000001</v>
      </c>
      <c r="M1316">
        <f t="shared" ref="M1316:M1331" si="130">F1316*0.621371</f>
        <v>250.41251299999999</v>
      </c>
      <c r="N1316">
        <v>7297</v>
      </c>
      <c r="O1316">
        <f t="shared" ca="1" si="126"/>
        <v>0.97766749379652618</v>
      </c>
    </row>
    <row r="1317" spans="1:15" x14ac:dyDescent="0.2">
      <c r="A1317" t="str">
        <f ca="1">IFERROR(__xludf.DUMMYFUNCTION("""COMPUTED_VALUE"""),"km")</f>
        <v>km</v>
      </c>
      <c r="B1317" t="str">
        <f ca="1">IFERROR(__xludf.DUMMYFUNCTION("""COMPUTED_VALUE"""),"Model S 70D")</f>
        <v>Model S 70D</v>
      </c>
      <c r="D1317">
        <f ca="1">IFERROR(__xludf.DUMMYFUNCTION("""COMPUTED_VALUE"""),102748)</f>
        <v>102748</v>
      </c>
      <c r="E1317">
        <f ca="1">IFERROR(__xludf.DUMMYFUNCTION("""COMPUTED_VALUE"""),352)</f>
        <v>352</v>
      </c>
      <c r="F1317">
        <v>360</v>
      </c>
      <c r="G1317">
        <v>0.97777777777777775</v>
      </c>
      <c r="H1317">
        <v>63845</v>
      </c>
      <c r="I1317">
        <v>102748</v>
      </c>
      <c r="J1317">
        <v>63845</v>
      </c>
      <c r="K1317">
        <v>0.93941111062293747</v>
      </c>
      <c r="L1317">
        <f t="shared" ca="1" si="129"/>
        <v>218.72259199999999</v>
      </c>
      <c r="M1317">
        <f t="shared" si="130"/>
        <v>223.69355999999999</v>
      </c>
      <c r="N1317">
        <v>63845</v>
      </c>
      <c r="O1317">
        <f t="shared" ca="1" si="126"/>
        <v>0.97777777777777775</v>
      </c>
    </row>
    <row r="1318" spans="1:15" x14ac:dyDescent="0.2">
      <c r="A1318" t="str">
        <f ca="1">IFERROR(__xludf.DUMMYFUNCTION("""COMPUTED_VALUE"""),"km")</f>
        <v>km</v>
      </c>
      <c r="B1318" t="str">
        <f ca="1">IFERROR(__xludf.DUMMYFUNCTION("""COMPUTED_VALUE"""),"Model S 70D")</f>
        <v>Model S 70D</v>
      </c>
      <c r="D1318">
        <f ca="1">IFERROR(__xludf.DUMMYFUNCTION("""COMPUTED_VALUE"""),32373)</f>
        <v>32373</v>
      </c>
      <c r="E1318">
        <f ca="1">IFERROR(__xludf.DUMMYFUNCTION("""COMPUTED_VALUE"""),352)</f>
        <v>352</v>
      </c>
      <c r="F1318">
        <v>360</v>
      </c>
      <c r="G1318">
        <v>0.97777777777777775</v>
      </c>
      <c r="H1318">
        <v>20116</v>
      </c>
      <c r="I1318">
        <v>32373</v>
      </c>
      <c r="J1318">
        <v>20116</v>
      </c>
      <c r="K1318">
        <v>0.97876406509039171</v>
      </c>
      <c r="L1318">
        <f t="shared" ca="1" si="129"/>
        <v>218.72259199999999</v>
      </c>
      <c r="M1318">
        <f t="shared" si="130"/>
        <v>223.69355999999999</v>
      </c>
      <c r="N1318">
        <v>20116</v>
      </c>
      <c r="O1318">
        <f t="shared" ca="1" si="126"/>
        <v>0.97777777777777775</v>
      </c>
    </row>
    <row r="1319" spans="1:15" x14ac:dyDescent="0.2">
      <c r="A1319" t="str">
        <f ca="1">IFERROR(__xludf.DUMMYFUNCTION("""COMPUTED_VALUE"""),"km")</f>
        <v>km</v>
      </c>
      <c r="B1319" t="str">
        <f ca="1">IFERROR(__xludf.DUMMYFUNCTION("""COMPUTED_VALUE"""),"Model S 70D")</f>
        <v>Model S 70D</v>
      </c>
      <c r="C1319">
        <f ca="1">IFERROR(__xludf.DUMMYFUNCTION("""COMPUTED_VALUE"""),360)</f>
        <v>360</v>
      </c>
      <c r="D1319">
        <f ca="1">IFERROR(__xludf.DUMMYFUNCTION("""COMPUTED_VALUE"""),53176)</f>
        <v>53176</v>
      </c>
      <c r="E1319">
        <f ca="1">IFERROR(__xludf.DUMMYFUNCTION("""COMPUTED_VALUE"""),352)</f>
        <v>352</v>
      </c>
      <c r="F1319">
        <v>360</v>
      </c>
      <c r="G1319">
        <v>0.97777777777777775</v>
      </c>
      <c r="H1319">
        <v>33042</v>
      </c>
      <c r="I1319">
        <v>53176</v>
      </c>
      <c r="J1319">
        <v>33042</v>
      </c>
      <c r="K1319">
        <v>0.96614023484423039</v>
      </c>
      <c r="L1319">
        <f t="shared" ca="1" si="129"/>
        <v>218.72259199999999</v>
      </c>
      <c r="M1319">
        <f t="shared" si="130"/>
        <v>223.69355999999999</v>
      </c>
      <c r="N1319">
        <v>33042</v>
      </c>
      <c r="O1319">
        <f t="shared" ca="1" si="126"/>
        <v>0.97777777777777775</v>
      </c>
    </row>
    <row r="1320" spans="1:15" x14ac:dyDescent="0.2">
      <c r="A1320" t="str">
        <f ca="1">IFERROR(__xludf.DUMMYFUNCTION("""COMPUTED_VALUE"""),"km")</f>
        <v>km</v>
      </c>
      <c r="B1320" t="str">
        <f ca="1">IFERROR(__xludf.DUMMYFUNCTION("""COMPUTED_VALUE"""),"Model S 70D")</f>
        <v>Model S 70D</v>
      </c>
      <c r="C1320">
        <f ca="1">IFERROR(__xludf.DUMMYFUNCTION("""COMPUTED_VALUE"""),360)</f>
        <v>360</v>
      </c>
      <c r="D1320">
        <f ca="1">IFERROR(__xludf.DUMMYFUNCTION("""COMPUTED_VALUE"""),49107)</f>
        <v>49107</v>
      </c>
      <c r="E1320">
        <f ca="1">IFERROR(__xludf.DUMMYFUNCTION("""COMPUTED_VALUE"""),352)</f>
        <v>352</v>
      </c>
      <c r="F1320">
        <v>360</v>
      </c>
      <c r="G1320">
        <v>0.97777777777777775</v>
      </c>
      <c r="H1320">
        <v>30514</v>
      </c>
      <c r="I1320">
        <v>49107</v>
      </c>
      <c r="J1320">
        <v>30514</v>
      </c>
      <c r="K1320">
        <v>0.96854530447493148</v>
      </c>
      <c r="L1320">
        <f t="shared" ca="1" si="129"/>
        <v>218.72259199999999</v>
      </c>
      <c r="M1320">
        <f t="shared" si="130"/>
        <v>223.69355999999999</v>
      </c>
      <c r="N1320">
        <v>30514</v>
      </c>
      <c r="O1320">
        <f t="shared" ca="1" si="126"/>
        <v>0.97777777777777775</v>
      </c>
    </row>
    <row r="1321" spans="1:15" x14ac:dyDescent="0.2">
      <c r="A1321" t="str">
        <f ca="1">IFERROR(__xludf.DUMMYFUNCTION("""COMPUTED_VALUE"""),"km")</f>
        <v>km</v>
      </c>
      <c r="B1321" t="str">
        <f ca="1">IFERROR(__xludf.DUMMYFUNCTION("""COMPUTED_VALUE"""),"Model S 70D")</f>
        <v>Model S 70D</v>
      </c>
      <c r="C1321">
        <f ca="1">IFERROR(__xludf.DUMMYFUNCTION("""COMPUTED_VALUE"""),360)</f>
        <v>360</v>
      </c>
      <c r="D1321">
        <f ca="1">IFERROR(__xludf.DUMMYFUNCTION("""COMPUTED_VALUE"""),39404)</f>
        <v>39404</v>
      </c>
      <c r="E1321">
        <f ca="1">IFERROR(__xludf.DUMMYFUNCTION("""COMPUTED_VALUE"""),352)</f>
        <v>352</v>
      </c>
      <c r="F1321">
        <v>360</v>
      </c>
      <c r="G1321">
        <v>0.97777777777777775</v>
      </c>
      <c r="H1321">
        <v>24485</v>
      </c>
      <c r="I1321">
        <v>39404</v>
      </c>
      <c r="J1321">
        <v>24485</v>
      </c>
      <c r="K1321">
        <v>0.97440662439292736</v>
      </c>
      <c r="L1321">
        <f t="shared" ca="1" si="129"/>
        <v>218.72259199999999</v>
      </c>
      <c r="M1321">
        <f t="shared" si="130"/>
        <v>223.69355999999999</v>
      </c>
      <c r="N1321">
        <v>24485</v>
      </c>
      <c r="O1321">
        <f t="shared" ca="1" si="126"/>
        <v>0.97777777777777775</v>
      </c>
    </row>
    <row r="1322" spans="1:15" x14ac:dyDescent="0.2">
      <c r="A1322" t="str">
        <f ca="1">IFERROR(__xludf.DUMMYFUNCTION("""COMPUTED_VALUE"""),"km")</f>
        <v>km</v>
      </c>
      <c r="B1322" t="str">
        <f ca="1">IFERROR(__xludf.DUMMYFUNCTION("""COMPUTED_VALUE"""),"Model S 70D")</f>
        <v>Model S 70D</v>
      </c>
      <c r="C1322">
        <f ca="1">IFERROR(__xludf.DUMMYFUNCTION("""COMPUTED_VALUE"""),360)</f>
        <v>360</v>
      </c>
      <c r="D1322">
        <f ca="1">IFERROR(__xludf.DUMMYFUNCTION("""COMPUTED_VALUE"""),36870)</f>
        <v>36870</v>
      </c>
      <c r="E1322">
        <f ca="1">IFERROR(__xludf.DUMMYFUNCTION("""COMPUTED_VALUE"""),352)</f>
        <v>352</v>
      </c>
      <c r="F1322">
        <v>360</v>
      </c>
      <c r="G1322">
        <v>0.97777777777777775</v>
      </c>
      <c r="H1322">
        <v>22910</v>
      </c>
      <c r="I1322">
        <v>36870</v>
      </c>
      <c r="J1322">
        <v>22910</v>
      </c>
      <c r="K1322">
        <v>0.97596643895602542</v>
      </c>
      <c r="L1322">
        <f t="shared" ca="1" si="129"/>
        <v>218.72259199999999</v>
      </c>
      <c r="M1322">
        <f t="shared" si="130"/>
        <v>223.69355999999999</v>
      </c>
      <c r="N1322">
        <v>22910</v>
      </c>
      <c r="O1322">
        <f t="shared" ca="1" si="126"/>
        <v>0.97777777777777775</v>
      </c>
    </row>
    <row r="1323" spans="1:15" x14ac:dyDescent="0.2">
      <c r="A1323" t="str">
        <f ca="1">IFERROR(__xludf.DUMMYFUNCTION("""COMPUTED_VALUE"""),"km")</f>
        <v>km</v>
      </c>
      <c r="B1323" t="str">
        <f ca="1">IFERROR(__xludf.DUMMYFUNCTION("""COMPUTED_VALUE"""),"Model S 70D")</f>
        <v>Model S 70D</v>
      </c>
      <c r="C1323">
        <f ca="1">IFERROR(__xludf.DUMMYFUNCTION("""COMPUTED_VALUE"""),360)</f>
        <v>360</v>
      </c>
      <c r="D1323">
        <f ca="1">IFERROR(__xludf.DUMMYFUNCTION("""COMPUTED_VALUE"""),3700)</f>
        <v>3700</v>
      </c>
      <c r="E1323">
        <f ca="1">IFERROR(__xludf.DUMMYFUNCTION("""COMPUTED_VALUE"""),352)</f>
        <v>352</v>
      </c>
      <c r="F1323">
        <v>360</v>
      </c>
      <c r="G1323">
        <v>0.97777777777777775</v>
      </c>
      <c r="H1323">
        <v>2299</v>
      </c>
      <c r="I1323">
        <v>3700</v>
      </c>
      <c r="J1323">
        <v>2299</v>
      </c>
      <c r="K1323">
        <v>0.99747665253716911</v>
      </c>
      <c r="L1323">
        <f t="shared" ca="1" si="129"/>
        <v>218.72259199999999</v>
      </c>
      <c r="M1323">
        <f t="shared" si="130"/>
        <v>223.69355999999999</v>
      </c>
      <c r="N1323">
        <v>2299</v>
      </c>
      <c r="O1323">
        <f t="shared" ca="1" si="126"/>
        <v>0.97777777777777775</v>
      </c>
    </row>
    <row r="1324" spans="1:15" x14ac:dyDescent="0.2">
      <c r="A1324" t="str">
        <f ca="1">IFERROR(__xludf.DUMMYFUNCTION("""COMPUTED_VALUE"""),"km")</f>
        <v>km</v>
      </c>
      <c r="B1324" t="str">
        <f ca="1">IFERROR(__xludf.DUMMYFUNCTION("""COMPUTED_VALUE"""),"Model 3 P")</f>
        <v>Model 3 P</v>
      </c>
      <c r="C1324">
        <f ca="1">IFERROR(__xludf.DUMMYFUNCTION("""COMPUTED_VALUE"""),499)</f>
        <v>499</v>
      </c>
      <c r="D1324">
        <f ca="1">IFERROR(__xludf.DUMMYFUNCTION("""COMPUTED_VALUE"""),13000)</f>
        <v>13000</v>
      </c>
      <c r="E1324">
        <f ca="1">IFERROR(__xludf.DUMMYFUNCTION("""COMPUTED_VALUE"""),488)</f>
        <v>488</v>
      </c>
      <c r="F1324">
        <v>499</v>
      </c>
      <c r="G1324">
        <v>0.97795591182364727</v>
      </c>
      <c r="H1324">
        <v>8078</v>
      </c>
      <c r="I1324">
        <v>13000</v>
      </c>
      <c r="J1324">
        <v>8078</v>
      </c>
      <c r="K1324">
        <v>0.99124304782596495</v>
      </c>
      <c r="L1324">
        <f t="shared" ca="1" si="129"/>
        <v>303.22904799999998</v>
      </c>
      <c r="M1324">
        <f t="shared" si="130"/>
        <v>310.06412899999998</v>
      </c>
      <c r="N1324">
        <v>8078</v>
      </c>
      <c r="O1324">
        <f t="shared" ca="1" si="126"/>
        <v>0.97795591182364727</v>
      </c>
    </row>
    <row r="1325" spans="1:15" x14ac:dyDescent="0.2">
      <c r="A1325" t="str">
        <f ca="1">IFERROR(__xludf.DUMMYFUNCTION("""COMPUTED_VALUE"""),"km")</f>
        <v>km</v>
      </c>
      <c r="B1325" t="str">
        <f ca="1">IFERROR(__xludf.DUMMYFUNCTION("""COMPUTED_VALUE"""),"Model 3 LR AWD")</f>
        <v>Model 3 LR AWD</v>
      </c>
      <c r="C1325">
        <f ca="1">IFERROR(__xludf.DUMMYFUNCTION("""COMPUTED_VALUE"""),502)</f>
        <v>502</v>
      </c>
      <c r="D1325">
        <f ca="1">IFERROR(__xludf.DUMMYFUNCTION("""COMPUTED_VALUE"""),18068)</f>
        <v>18068</v>
      </c>
      <c r="E1325">
        <f ca="1">IFERROR(__xludf.DUMMYFUNCTION("""COMPUTED_VALUE"""),488)</f>
        <v>488</v>
      </c>
      <c r="F1325">
        <v>499</v>
      </c>
      <c r="G1325">
        <v>0.97795591182364727</v>
      </c>
      <c r="H1325">
        <v>11227</v>
      </c>
      <c r="I1325">
        <v>18068</v>
      </c>
      <c r="J1325">
        <v>11227</v>
      </c>
      <c r="K1325">
        <v>0.9879120857096293</v>
      </c>
      <c r="L1325">
        <f t="shared" ca="1" si="129"/>
        <v>303.22904799999998</v>
      </c>
      <c r="M1325">
        <f t="shared" si="130"/>
        <v>310.06412899999998</v>
      </c>
      <c r="N1325">
        <v>11227</v>
      </c>
      <c r="O1325">
        <f t="shared" ca="1" si="126"/>
        <v>0.97795591182364727</v>
      </c>
    </row>
    <row r="1326" spans="1:15" x14ac:dyDescent="0.2">
      <c r="A1326" t="str">
        <f ca="1">IFERROR(__xludf.DUMMYFUNCTION("""COMPUTED_VALUE"""),"km")</f>
        <v>km</v>
      </c>
      <c r="B1326" t="str">
        <f ca="1">IFERROR(__xludf.DUMMYFUNCTION("""COMPUTED_VALUE"""),"Model 3 LR AWD")</f>
        <v>Model 3 LR AWD</v>
      </c>
      <c r="C1326">
        <f ca="1">IFERROR(__xludf.DUMMYFUNCTION("""COMPUTED_VALUE"""),508)</f>
        <v>508</v>
      </c>
      <c r="D1326">
        <f ca="1">IFERROR(__xludf.DUMMYFUNCTION("""COMPUTED_VALUE"""),16250)</f>
        <v>16250</v>
      </c>
      <c r="E1326">
        <f ca="1">IFERROR(__xludf.DUMMYFUNCTION("""COMPUTED_VALUE"""),488)</f>
        <v>488</v>
      </c>
      <c r="F1326">
        <v>499</v>
      </c>
      <c r="G1326">
        <v>0.97795591182364727</v>
      </c>
      <c r="H1326">
        <v>10097</v>
      </c>
      <c r="I1326">
        <v>16250</v>
      </c>
      <c r="J1326">
        <v>10097</v>
      </c>
      <c r="K1326">
        <v>0.98910159083218796</v>
      </c>
      <c r="L1326">
        <f t="shared" ca="1" si="129"/>
        <v>303.22904799999998</v>
      </c>
      <c r="M1326">
        <f t="shared" si="130"/>
        <v>310.06412899999998</v>
      </c>
      <c r="N1326">
        <v>10097</v>
      </c>
      <c r="O1326">
        <f t="shared" ca="1" si="126"/>
        <v>0.97795591182364727</v>
      </c>
    </row>
    <row r="1327" spans="1:15" x14ac:dyDescent="0.2">
      <c r="A1327" t="str">
        <f ca="1">IFERROR(__xludf.DUMMYFUNCTION("""COMPUTED_VALUE"""),"km")</f>
        <v>km</v>
      </c>
      <c r="B1327" t="str">
        <f ca="1">IFERROR(__xludf.DUMMYFUNCTION("""COMPUTED_VALUE"""),"Model 3 P")</f>
        <v>Model 3 P</v>
      </c>
      <c r="C1327">
        <f ca="1">IFERROR(__xludf.DUMMYFUNCTION("""COMPUTED_VALUE"""),497)</f>
        <v>497</v>
      </c>
      <c r="D1327">
        <f ca="1">IFERROR(__xludf.DUMMYFUNCTION("""COMPUTED_VALUE"""),9800)</f>
        <v>9800</v>
      </c>
      <c r="E1327">
        <f ca="1">IFERROR(__xludf.DUMMYFUNCTION("""COMPUTED_VALUE"""),488)</f>
        <v>488</v>
      </c>
      <c r="F1327">
        <v>499</v>
      </c>
      <c r="G1327">
        <v>0.97795591182364727</v>
      </c>
      <c r="H1327">
        <v>6089</v>
      </c>
      <c r="I1327">
        <v>9800</v>
      </c>
      <c r="J1327">
        <v>6089</v>
      </c>
      <c r="K1327">
        <v>0.9933703022099698</v>
      </c>
      <c r="L1327">
        <f t="shared" ca="1" si="129"/>
        <v>303.22904799999998</v>
      </c>
      <c r="M1327">
        <f t="shared" si="130"/>
        <v>310.06412899999998</v>
      </c>
      <c r="N1327">
        <v>6089</v>
      </c>
      <c r="O1327">
        <f t="shared" ca="1" si="126"/>
        <v>0.97795591182364727</v>
      </c>
    </row>
    <row r="1328" spans="1:15" x14ac:dyDescent="0.2">
      <c r="A1328" t="str">
        <f ca="1">IFERROR(__xludf.DUMMYFUNCTION("""COMPUTED_VALUE"""),"km")</f>
        <v>km</v>
      </c>
      <c r="B1328" t="str">
        <f ca="1">IFERROR(__xludf.DUMMYFUNCTION("""COMPUTED_VALUE"""),"Model S 75")</f>
        <v>Model S 75</v>
      </c>
      <c r="C1328">
        <f ca="1">IFERROR(__xludf.DUMMYFUNCTION("""COMPUTED_VALUE"""),384)</f>
        <v>384</v>
      </c>
      <c r="D1328">
        <f ca="1">IFERROR(__xludf.DUMMYFUNCTION("""COMPUTED_VALUE"""),24000)</f>
        <v>24000</v>
      </c>
      <c r="E1328">
        <f ca="1">IFERROR(__xludf.DUMMYFUNCTION("""COMPUTED_VALUE"""),367)</f>
        <v>367</v>
      </c>
      <c r="F1328">
        <v>375</v>
      </c>
      <c r="G1328">
        <v>0.97866666666666668</v>
      </c>
      <c r="H1328">
        <v>14913</v>
      </c>
      <c r="I1328">
        <v>24000</v>
      </c>
      <c r="J1328">
        <v>14913</v>
      </c>
      <c r="K1328">
        <v>0.98407287113554054</v>
      </c>
      <c r="L1328">
        <f t="shared" ca="1" si="129"/>
        <v>228.04315700000001</v>
      </c>
      <c r="M1328">
        <f t="shared" si="130"/>
        <v>233.01412500000001</v>
      </c>
      <c r="N1328">
        <v>14913</v>
      </c>
      <c r="O1328">
        <f t="shared" ca="1" si="126"/>
        <v>0.97866666666666668</v>
      </c>
    </row>
    <row r="1329" spans="1:15" x14ac:dyDescent="0.2">
      <c r="A1329" t="str">
        <f ca="1">IFERROR(__xludf.DUMMYFUNCTION("""COMPUTED_VALUE"""),"km")</f>
        <v>km</v>
      </c>
      <c r="B1329" t="str">
        <f ca="1">IFERROR(__xludf.DUMMYFUNCTION("""COMPUTED_VALUE"""),"Model X 75D")</f>
        <v>Model X 75D</v>
      </c>
      <c r="D1329">
        <f ca="1">IFERROR(__xludf.DUMMYFUNCTION("""COMPUTED_VALUE"""),29500)</f>
        <v>29500</v>
      </c>
      <c r="E1329">
        <f ca="1">IFERROR(__xludf.DUMMYFUNCTION("""COMPUTED_VALUE"""),322)</f>
        <v>322</v>
      </c>
      <c r="F1329">
        <v>329</v>
      </c>
      <c r="G1329">
        <v>0.97872340425531912</v>
      </c>
      <c r="H1329">
        <v>18330</v>
      </c>
      <c r="I1329">
        <v>29500</v>
      </c>
      <c r="J1329">
        <v>18330</v>
      </c>
      <c r="K1329">
        <v>0.98057105262497712</v>
      </c>
      <c r="L1329">
        <f t="shared" ca="1" si="129"/>
        <v>200.08146200000002</v>
      </c>
      <c r="M1329">
        <f t="shared" si="130"/>
        <v>204.431059</v>
      </c>
      <c r="N1329">
        <v>18330</v>
      </c>
      <c r="O1329">
        <f t="shared" ca="1" si="126"/>
        <v>0.97872340425531923</v>
      </c>
    </row>
    <row r="1330" spans="1:15" x14ac:dyDescent="0.2">
      <c r="A1330" t="str">
        <f ca="1">IFERROR(__xludf.DUMMYFUNCTION("""COMPUTED_VALUE"""),"km")</f>
        <v>km</v>
      </c>
      <c r="B1330" t="str">
        <f ca="1">IFERROR(__xludf.DUMMYFUNCTION("""COMPUTED_VALUE"""),"Model S 85D")</f>
        <v>Model S 85D</v>
      </c>
      <c r="D1330">
        <f ca="1">IFERROR(__xludf.DUMMYFUNCTION("""COMPUTED_VALUE"""),65086)</f>
        <v>65086</v>
      </c>
      <c r="E1330">
        <f ca="1">IFERROR(__xludf.DUMMYFUNCTION("""COMPUTED_VALUE"""),416)</f>
        <v>416</v>
      </c>
      <c r="F1330">
        <v>425</v>
      </c>
      <c r="G1330">
        <v>0.97882352941176476</v>
      </c>
      <c r="H1330">
        <v>40443</v>
      </c>
      <c r="I1330">
        <v>65086</v>
      </c>
      <c r="J1330">
        <v>40443</v>
      </c>
      <c r="K1330">
        <v>0.95928199233744238</v>
      </c>
      <c r="L1330">
        <f t="shared" ca="1" si="129"/>
        <v>258.49033600000001</v>
      </c>
      <c r="M1330">
        <f t="shared" si="130"/>
        <v>264.08267499999999</v>
      </c>
      <c r="N1330">
        <v>40443</v>
      </c>
      <c r="O1330">
        <f t="shared" ca="1" si="126"/>
        <v>0.97882352941176476</v>
      </c>
    </row>
    <row r="1331" spans="1:15" x14ac:dyDescent="0.2">
      <c r="A1331" t="str">
        <f ca="1">IFERROR(__xludf.DUMMYFUNCTION("""COMPUTED_VALUE"""),"km")</f>
        <v>km</v>
      </c>
      <c r="B1331" t="str">
        <f ca="1">IFERROR(__xludf.DUMMYFUNCTION("""COMPUTED_VALUE"""),"Model S 75D")</f>
        <v>Model S 75D</v>
      </c>
      <c r="C1331">
        <f ca="1">IFERROR(__xludf.DUMMYFUNCTION("""COMPUTED_VALUE"""),393)</f>
        <v>393</v>
      </c>
      <c r="D1331">
        <f ca="1">IFERROR(__xludf.DUMMYFUNCTION("""COMPUTED_VALUE"""),100212)</f>
        <v>100212</v>
      </c>
      <c r="E1331">
        <f ca="1">IFERROR(__xludf.DUMMYFUNCTION("""COMPUTED_VALUE"""),376)</f>
        <v>376</v>
      </c>
      <c r="F1331">
        <v>384</v>
      </c>
      <c r="G1331">
        <v>0.97916666666666663</v>
      </c>
      <c r="H1331">
        <v>62269</v>
      </c>
      <c r="I1331">
        <v>100212</v>
      </c>
      <c r="J1331">
        <v>62269</v>
      </c>
      <c r="K1331">
        <v>0.9406609129596688</v>
      </c>
      <c r="L1331">
        <f t="shared" ca="1" si="129"/>
        <v>233.63549599999999</v>
      </c>
      <c r="M1331">
        <f t="shared" si="130"/>
        <v>238.60646400000002</v>
      </c>
      <c r="N1331">
        <v>62269</v>
      </c>
      <c r="O1331">
        <f t="shared" ca="1" si="126"/>
        <v>0.97916666666666652</v>
      </c>
    </row>
    <row r="1332" spans="1:15" x14ac:dyDescent="0.2">
      <c r="A1332" t="str">
        <f ca="1">IFERROR(__xludf.DUMMYFUNCTION("""COMPUTED_VALUE"""),"mi")</f>
        <v>mi</v>
      </c>
      <c r="B1332" t="str">
        <f ca="1">IFERROR(__xludf.DUMMYFUNCTION("""COMPUTED_VALUE"""),"Model 3 SR+")</f>
        <v>Model 3 SR+</v>
      </c>
      <c r="C1332">
        <f ca="1">IFERROR(__xludf.DUMMYFUNCTION("""COMPUTED_VALUE"""),240)</f>
        <v>240</v>
      </c>
      <c r="D1332">
        <f ca="1">IFERROR(__xludf.DUMMYFUNCTION("""COMPUTED_VALUE"""),20000)</f>
        <v>20000</v>
      </c>
      <c r="E1332">
        <f ca="1">IFERROR(__xludf.DUMMYFUNCTION("""COMPUTED_VALUE"""),235)</f>
        <v>235</v>
      </c>
      <c r="F1332">
        <v>240</v>
      </c>
      <c r="G1332">
        <v>0.97916666666666663</v>
      </c>
      <c r="H1332">
        <v>20000</v>
      </c>
      <c r="I1332">
        <v>32187</v>
      </c>
      <c r="J1332">
        <v>20000</v>
      </c>
      <c r="K1332">
        <v>0.97888058731710648</v>
      </c>
      <c r="L1332">
        <f ca="1">IFERROR(__xludf.DUMMYFUNCTION("""COMPUTED_VALUE"""),235)</f>
        <v>235</v>
      </c>
      <c r="M1332">
        <v>240</v>
      </c>
      <c r="N1332">
        <v>20000</v>
      </c>
      <c r="O1332">
        <f t="shared" ca="1" si="126"/>
        <v>0.97916666666666663</v>
      </c>
    </row>
    <row r="1333" spans="1:15" x14ac:dyDescent="0.2">
      <c r="A1333" t="str">
        <f ca="1">IFERROR(__xludf.DUMMYFUNCTION("""COMPUTED_VALUE"""),"mi")</f>
        <v>mi</v>
      </c>
      <c r="B1333" t="str">
        <f ca="1">IFERROR(__xludf.DUMMYFUNCTION("""COMPUTED_VALUE"""),"Model 3 P")</f>
        <v>Model 3 P</v>
      </c>
      <c r="C1333">
        <f ca="1">IFERROR(__xludf.DUMMYFUNCTION("""COMPUTED_VALUE"""),310)</f>
        <v>310</v>
      </c>
      <c r="D1333">
        <f ca="1">IFERROR(__xludf.DUMMYFUNCTION("""COMPUTED_VALUE"""),4269)</f>
        <v>4269</v>
      </c>
      <c r="E1333">
        <f ca="1">IFERROR(__xludf.DUMMYFUNCTION("""COMPUTED_VALUE"""),303.67)</f>
        <v>303.67</v>
      </c>
      <c r="F1333">
        <v>310</v>
      </c>
      <c r="G1333">
        <v>0.9795806451612904</v>
      </c>
      <c r="H1333">
        <v>4269</v>
      </c>
      <c r="I1333">
        <v>6870</v>
      </c>
      <c r="J1333">
        <v>4269</v>
      </c>
      <c r="K1333">
        <v>0.99533432173969139</v>
      </c>
      <c r="L1333">
        <f ca="1">IFERROR(__xludf.DUMMYFUNCTION("""COMPUTED_VALUE"""),303.67)</f>
        <v>303.67</v>
      </c>
      <c r="M1333">
        <v>310</v>
      </c>
      <c r="N1333">
        <v>4269</v>
      </c>
      <c r="O1333">
        <f t="shared" ca="1" si="126"/>
        <v>0.9795806451612904</v>
      </c>
    </row>
    <row r="1334" spans="1:15" x14ac:dyDescent="0.2">
      <c r="A1334" t="str">
        <f ca="1">IFERROR(__xludf.DUMMYFUNCTION("""COMPUTED_VALUE"""),"mi")</f>
        <v>mi</v>
      </c>
      <c r="B1334" t="str">
        <f ca="1">IFERROR(__xludf.DUMMYFUNCTION("""COMPUTED_VALUE"""),"Model S 75")</f>
        <v>Model S 75</v>
      </c>
      <c r="C1334">
        <f ca="1">IFERROR(__xludf.DUMMYFUNCTION("""COMPUTED_VALUE"""),245)</f>
        <v>245</v>
      </c>
      <c r="D1334">
        <f ca="1">IFERROR(__xludf.DUMMYFUNCTION("""COMPUTED_VALUE"""),7287)</f>
        <v>7287</v>
      </c>
      <c r="E1334">
        <f ca="1">IFERROR(__xludf.DUMMYFUNCTION("""COMPUTED_VALUE"""),241)</f>
        <v>241</v>
      </c>
      <c r="F1334">
        <v>246</v>
      </c>
      <c r="G1334">
        <v>0.97967479674796742</v>
      </c>
      <c r="H1334">
        <v>7287</v>
      </c>
      <c r="I1334">
        <v>11727</v>
      </c>
      <c r="J1334">
        <v>7287</v>
      </c>
      <c r="K1334">
        <v>0.99208707242425298</v>
      </c>
      <c r="L1334">
        <f ca="1">IFERROR(__xludf.DUMMYFUNCTION("""COMPUTED_VALUE"""),241)</f>
        <v>241</v>
      </c>
      <c r="M1334">
        <v>246</v>
      </c>
      <c r="N1334">
        <v>7287</v>
      </c>
      <c r="O1334">
        <f t="shared" ca="1" si="126"/>
        <v>0.97967479674796742</v>
      </c>
    </row>
    <row r="1335" spans="1:15" x14ac:dyDescent="0.2">
      <c r="A1335" t="str">
        <f ca="1">IFERROR(__xludf.DUMMYFUNCTION("""COMPUTED_VALUE"""),"mi")</f>
        <v>mi</v>
      </c>
      <c r="B1335" t="str">
        <f ca="1">IFERROR(__xludf.DUMMYFUNCTION("""COMPUTED_VALUE"""),"Model S 75")</f>
        <v>Model S 75</v>
      </c>
      <c r="D1335">
        <f ca="1">IFERROR(__xludf.DUMMYFUNCTION("""COMPUTED_VALUE"""),13711)</f>
        <v>13711</v>
      </c>
      <c r="E1335">
        <f ca="1">IFERROR(__xludf.DUMMYFUNCTION("""COMPUTED_VALUE"""),241)</f>
        <v>241</v>
      </c>
      <c r="F1335">
        <v>246</v>
      </c>
      <c r="G1335">
        <v>0.97967479674796742</v>
      </c>
      <c r="H1335">
        <v>13711</v>
      </c>
      <c r="I1335">
        <v>22066</v>
      </c>
      <c r="J1335">
        <v>13711</v>
      </c>
      <c r="K1335">
        <v>0.98531747541077208</v>
      </c>
      <c r="L1335">
        <f ca="1">IFERROR(__xludf.DUMMYFUNCTION("""COMPUTED_VALUE"""),241)</f>
        <v>241</v>
      </c>
      <c r="M1335">
        <v>246</v>
      </c>
      <c r="N1335">
        <v>13711</v>
      </c>
      <c r="O1335">
        <f t="shared" ca="1" si="126"/>
        <v>0.97967479674796742</v>
      </c>
    </row>
    <row r="1336" spans="1:15" x14ac:dyDescent="0.2">
      <c r="A1336" t="str">
        <f ca="1">IFERROR(__xludf.DUMMYFUNCTION("""COMPUTED_VALUE"""),"mi")</f>
        <v>mi</v>
      </c>
      <c r="B1336" t="str">
        <f ca="1">IFERROR(__xludf.DUMMYFUNCTION("""COMPUTED_VALUE"""),"Model S 75")</f>
        <v>Model S 75</v>
      </c>
      <c r="D1336">
        <f ca="1">IFERROR(__xludf.DUMMYFUNCTION("""COMPUTED_VALUE"""),3000)</f>
        <v>3000</v>
      </c>
      <c r="E1336">
        <f ca="1">IFERROR(__xludf.DUMMYFUNCTION("""COMPUTED_VALUE"""),241)</f>
        <v>241</v>
      </c>
      <c r="F1336">
        <v>246</v>
      </c>
      <c r="G1336">
        <v>0.97967479674796742</v>
      </c>
      <c r="H1336">
        <v>3000</v>
      </c>
      <c r="I1336">
        <v>4828</v>
      </c>
      <c r="J1336">
        <v>3000</v>
      </c>
      <c r="K1336">
        <v>0.99671226117509304</v>
      </c>
      <c r="L1336">
        <f ca="1">IFERROR(__xludf.DUMMYFUNCTION("""COMPUTED_VALUE"""),241)</f>
        <v>241</v>
      </c>
      <c r="M1336">
        <v>246</v>
      </c>
      <c r="N1336">
        <v>3000</v>
      </c>
      <c r="O1336">
        <f t="shared" ca="1" si="126"/>
        <v>0.97967479674796742</v>
      </c>
    </row>
    <row r="1337" spans="1:15" x14ac:dyDescent="0.2">
      <c r="A1337" t="str">
        <f ca="1">IFERROR(__xludf.DUMMYFUNCTION("""COMPUTED_VALUE"""),"km")</f>
        <v>km</v>
      </c>
      <c r="B1337" t="str">
        <f ca="1">IFERROR(__xludf.DUMMYFUNCTION("""COMPUTED_VALUE"""),"Model S 85")</f>
        <v>Model S 85</v>
      </c>
      <c r="C1337">
        <f ca="1">IFERROR(__xludf.DUMMYFUNCTION("""COMPUTED_VALUE"""),398)</f>
        <v>398</v>
      </c>
      <c r="D1337">
        <f ca="1">IFERROR(__xludf.DUMMYFUNCTION("""COMPUTED_VALUE"""),69255)</f>
        <v>69255</v>
      </c>
      <c r="E1337">
        <f ca="1">IFERROR(__xludf.DUMMYFUNCTION("""COMPUTED_VALUE"""),387)</f>
        <v>387</v>
      </c>
      <c r="F1337">
        <v>395</v>
      </c>
      <c r="G1337">
        <v>0.97974683544303798</v>
      </c>
      <c r="H1337">
        <v>43033</v>
      </c>
      <c r="I1337">
        <v>69255</v>
      </c>
      <c r="J1337">
        <v>43033</v>
      </c>
      <c r="K1337">
        <v>0.9569457100457639</v>
      </c>
      <c r="L1337">
        <f t="shared" ref="L1337:L1347" ca="1" si="131">E1337*0.621371</f>
        <v>240.47057699999999</v>
      </c>
      <c r="M1337">
        <f t="shared" ref="M1337:M1347" si="132">F1337*0.621371</f>
        <v>245.44154499999999</v>
      </c>
      <c r="N1337">
        <v>43033</v>
      </c>
      <c r="O1337">
        <f t="shared" ca="1" si="126"/>
        <v>0.97974683544303798</v>
      </c>
    </row>
    <row r="1338" spans="1:15" x14ac:dyDescent="0.2">
      <c r="A1338" t="str">
        <f ca="1">IFERROR(__xludf.DUMMYFUNCTION("""COMPUTED_VALUE"""),"km")</f>
        <v>km</v>
      </c>
      <c r="B1338" t="str">
        <f ca="1">IFERROR(__xludf.DUMMYFUNCTION("""COMPUTED_VALUE"""),"Model S 85")</f>
        <v>Model S 85</v>
      </c>
      <c r="D1338">
        <f ca="1">IFERROR(__xludf.DUMMYFUNCTION("""COMPUTED_VALUE"""),28500)</f>
        <v>28500</v>
      </c>
      <c r="E1338">
        <f ca="1">IFERROR(__xludf.DUMMYFUNCTION("""COMPUTED_VALUE"""),387)</f>
        <v>387</v>
      </c>
      <c r="F1338">
        <v>395</v>
      </c>
      <c r="G1338">
        <v>0.97974683544303798</v>
      </c>
      <c r="H1338">
        <v>17709</v>
      </c>
      <c r="I1338">
        <v>28500</v>
      </c>
      <c r="J1338">
        <v>17709</v>
      </c>
      <c r="K1338">
        <v>0.98120359355268516</v>
      </c>
      <c r="L1338">
        <f t="shared" ca="1" si="131"/>
        <v>240.47057699999999</v>
      </c>
      <c r="M1338">
        <f t="shared" si="132"/>
        <v>245.44154499999999</v>
      </c>
      <c r="N1338">
        <v>17709</v>
      </c>
      <c r="O1338">
        <f t="shared" ca="1" si="126"/>
        <v>0.97974683544303798</v>
      </c>
    </row>
    <row r="1339" spans="1:15" x14ac:dyDescent="0.2">
      <c r="A1339" t="str">
        <f ca="1">IFERROR(__xludf.DUMMYFUNCTION("""COMPUTED_VALUE"""),"km")</f>
        <v>km</v>
      </c>
      <c r="B1339" t="str">
        <f ca="1">IFERROR(__xludf.DUMMYFUNCTION("""COMPUTED_VALUE"""),"Model S 85")</f>
        <v>Model S 85</v>
      </c>
      <c r="D1339">
        <f ca="1">IFERROR(__xludf.DUMMYFUNCTION("""COMPUTED_VALUE"""),15930)</f>
        <v>15930</v>
      </c>
      <c r="E1339">
        <f ca="1">IFERROR(__xludf.DUMMYFUNCTION("""COMPUTED_VALUE"""),387)</f>
        <v>387</v>
      </c>
      <c r="F1339">
        <v>395</v>
      </c>
      <c r="G1339">
        <v>0.97974683544303798</v>
      </c>
      <c r="H1339">
        <v>9898</v>
      </c>
      <c r="I1339">
        <v>15930</v>
      </c>
      <c r="J1339">
        <v>9898</v>
      </c>
      <c r="K1339">
        <v>0.98931158858467172</v>
      </c>
      <c r="L1339">
        <f t="shared" ca="1" si="131"/>
        <v>240.47057699999999</v>
      </c>
      <c r="M1339">
        <f t="shared" si="132"/>
        <v>245.44154499999999</v>
      </c>
      <c r="N1339">
        <v>9898</v>
      </c>
      <c r="O1339">
        <f t="shared" ca="1" si="126"/>
        <v>0.97974683544303798</v>
      </c>
    </row>
    <row r="1340" spans="1:15" x14ac:dyDescent="0.2">
      <c r="A1340" t="str">
        <f ca="1">IFERROR(__xludf.DUMMYFUNCTION("""COMPUTED_VALUE"""),"km")</f>
        <v>km</v>
      </c>
      <c r="B1340" t="str">
        <f ca="1">IFERROR(__xludf.DUMMYFUNCTION("""COMPUTED_VALUE"""),"Model S 85")</f>
        <v>Model S 85</v>
      </c>
      <c r="D1340">
        <f ca="1">IFERROR(__xludf.DUMMYFUNCTION("""COMPUTED_VALUE"""),33700)</f>
        <v>33700</v>
      </c>
      <c r="E1340">
        <f ca="1">IFERROR(__xludf.DUMMYFUNCTION("""COMPUTED_VALUE"""),387)</f>
        <v>387</v>
      </c>
      <c r="F1340">
        <v>395</v>
      </c>
      <c r="G1340">
        <v>0.97974683544303798</v>
      </c>
      <c r="H1340">
        <v>20940</v>
      </c>
      <c r="I1340">
        <v>33700</v>
      </c>
      <c r="J1340">
        <v>20940</v>
      </c>
      <c r="K1340">
        <v>0.97793461243619029</v>
      </c>
      <c r="L1340">
        <f t="shared" ca="1" si="131"/>
        <v>240.47057699999999</v>
      </c>
      <c r="M1340">
        <f t="shared" si="132"/>
        <v>245.44154499999999</v>
      </c>
      <c r="N1340">
        <v>20940</v>
      </c>
      <c r="O1340">
        <f t="shared" ca="1" si="126"/>
        <v>0.97974683544303798</v>
      </c>
    </row>
    <row r="1341" spans="1:15" x14ac:dyDescent="0.2">
      <c r="A1341" t="str">
        <f ca="1">IFERROR(__xludf.DUMMYFUNCTION("""COMPUTED_VALUE"""),"km")</f>
        <v>km</v>
      </c>
      <c r="B1341" t="str">
        <f ca="1">IFERROR(__xludf.DUMMYFUNCTION("""COMPUTED_VALUE"""),"Model S P85")</f>
        <v>Model S P85</v>
      </c>
      <c r="D1341">
        <f ca="1">IFERROR(__xludf.DUMMYFUNCTION("""COMPUTED_VALUE"""),24325)</f>
        <v>24325</v>
      </c>
      <c r="E1341">
        <f ca="1">IFERROR(__xludf.DUMMYFUNCTION("""COMPUTED_VALUE"""),387)</f>
        <v>387</v>
      </c>
      <c r="F1341">
        <v>395</v>
      </c>
      <c r="G1341">
        <v>0.97974683544303798</v>
      </c>
      <c r="H1341">
        <v>15115</v>
      </c>
      <c r="I1341">
        <v>24325</v>
      </c>
      <c r="J1341">
        <v>15115</v>
      </c>
      <c r="K1341">
        <v>0.98386439563342742</v>
      </c>
      <c r="L1341">
        <f t="shared" ca="1" si="131"/>
        <v>240.47057699999999</v>
      </c>
      <c r="M1341">
        <f t="shared" si="132"/>
        <v>245.44154499999999</v>
      </c>
      <c r="N1341">
        <v>15115</v>
      </c>
      <c r="O1341">
        <f t="shared" ca="1" si="126"/>
        <v>0.97974683544303798</v>
      </c>
    </row>
    <row r="1342" spans="1:15" x14ac:dyDescent="0.2">
      <c r="A1342" t="str">
        <f ca="1">IFERROR(__xludf.DUMMYFUNCTION("""COMPUTED_VALUE"""),"km")</f>
        <v>km</v>
      </c>
      <c r="B1342" t="str">
        <f ca="1">IFERROR(__xludf.DUMMYFUNCTION("""COMPUTED_VALUE"""),"Model S 85")</f>
        <v>Model S 85</v>
      </c>
      <c r="D1342">
        <f ca="1">IFERROR(__xludf.DUMMYFUNCTION("""COMPUTED_VALUE"""),29700)</f>
        <v>29700</v>
      </c>
      <c r="E1342">
        <f ca="1">IFERROR(__xludf.DUMMYFUNCTION("""COMPUTED_VALUE"""),387)</f>
        <v>387</v>
      </c>
      <c r="F1342">
        <v>395</v>
      </c>
      <c r="G1342">
        <v>0.97974683544303798</v>
      </c>
      <c r="H1342">
        <v>18455</v>
      </c>
      <c r="I1342">
        <v>29700</v>
      </c>
      <c r="J1342">
        <v>18455</v>
      </c>
      <c r="K1342">
        <v>0.98044476642942302</v>
      </c>
      <c r="L1342">
        <f t="shared" ca="1" si="131"/>
        <v>240.47057699999999</v>
      </c>
      <c r="M1342">
        <f t="shared" si="132"/>
        <v>245.44154499999999</v>
      </c>
      <c r="N1342">
        <v>18455</v>
      </c>
      <c r="O1342">
        <f t="shared" ca="1" si="126"/>
        <v>0.97974683544303798</v>
      </c>
    </row>
    <row r="1343" spans="1:15" x14ac:dyDescent="0.2">
      <c r="A1343" t="str">
        <f ca="1">IFERROR(__xludf.DUMMYFUNCTION("""COMPUTED_VALUE"""),"km")</f>
        <v>km</v>
      </c>
      <c r="B1343" t="str">
        <f ca="1">IFERROR(__xludf.DUMMYFUNCTION("""COMPUTED_VALUE"""),"Model S P85")</f>
        <v>Model S P85</v>
      </c>
      <c r="D1343">
        <f ca="1">IFERROR(__xludf.DUMMYFUNCTION("""COMPUTED_VALUE"""),23945)</f>
        <v>23945</v>
      </c>
      <c r="E1343">
        <f ca="1">IFERROR(__xludf.DUMMYFUNCTION("""COMPUTED_VALUE"""),387)</f>
        <v>387</v>
      </c>
      <c r="F1343">
        <v>395</v>
      </c>
      <c r="G1343">
        <v>0.97974683544303798</v>
      </c>
      <c r="H1343">
        <v>14879</v>
      </c>
      <c r="I1343">
        <v>23945</v>
      </c>
      <c r="J1343">
        <v>14879</v>
      </c>
      <c r="K1343">
        <v>0.98410817082420032</v>
      </c>
      <c r="L1343">
        <f t="shared" ca="1" si="131"/>
        <v>240.47057699999999</v>
      </c>
      <c r="M1343">
        <f t="shared" si="132"/>
        <v>245.44154499999999</v>
      </c>
      <c r="N1343">
        <v>14879</v>
      </c>
      <c r="O1343">
        <f t="shared" ca="1" si="126"/>
        <v>0.97974683544303798</v>
      </c>
    </row>
    <row r="1344" spans="1:15" x14ac:dyDescent="0.2">
      <c r="A1344" t="str">
        <f ca="1">IFERROR(__xludf.DUMMYFUNCTION("""COMPUTED_VALUE"""),"km")</f>
        <v>km</v>
      </c>
      <c r="B1344" t="str">
        <f ca="1">IFERROR(__xludf.DUMMYFUNCTION("""COMPUTED_VALUE"""),"Model 3 LR AWD")</f>
        <v>Model 3 LR AWD</v>
      </c>
      <c r="C1344">
        <f ca="1">IFERROR(__xludf.DUMMYFUNCTION("""COMPUTED_VALUE"""),499)</f>
        <v>499</v>
      </c>
      <c r="D1344">
        <f ca="1">IFERROR(__xludf.DUMMYFUNCTION("""COMPUTED_VALUE"""),11051)</f>
        <v>11051</v>
      </c>
      <c r="E1344">
        <f ca="1">IFERROR(__xludf.DUMMYFUNCTION("""COMPUTED_VALUE"""),489)</f>
        <v>489</v>
      </c>
      <c r="F1344">
        <v>499</v>
      </c>
      <c r="G1344">
        <v>0.97995991983967934</v>
      </c>
      <c r="H1344">
        <v>6867</v>
      </c>
      <c r="I1344">
        <v>11051</v>
      </c>
      <c r="J1344">
        <v>6867</v>
      </c>
      <c r="K1344">
        <v>0.99253646896019609</v>
      </c>
      <c r="L1344">
        <f t="shared" ca="1" si="131"/>
        <v>303.85041899999999</v>
      </c>
      <c r="M1344">
        <f t="shared" si="132"/>
        <v>310.06412899999998</v>
      </c>
      <c r="N1344">
        <v>6867</v>
      </c>
      <c r="O1344">
        <f t="shared" ca="1" si="126"/>
        <v>0.97995991983967934</v>
      </c>
    </row>
    <row r="1345" spans="1:15" x14ac:dyDescent="0.2">
      <c r="A1345" t="str">
        <f ca="1">IFERROR(__xludf.DUMMYFUNCTION("""COMPUTED_VALUE"""),"km")</f>
        <v>km</v>
      </c>
      <c r="B1345" t="str">
        <f ca="1">IFERROR(__xludf.DUMMYFUNCTION("""COMPUTED_VALUE"""),"Model 3 LR AWD")</f>
        <v>Model 3 LR AWD</v>
      </c>
      <c r="C1345">
        <f ca="1">IFERROR(__xludf.DUMMYFUNCTION("""COMPUTED_VALUE"""),499)</f>
        <v>499</v>
      </c>
      <c r="D1345">
        <f ca="1">IFERROR(__xludf.DUMMYFUNCTION("""COMPUTED_VALUE"""),4613)</f>
        <v>4613</v>
      </c>
      <c r="E1345">
        <f ca="1">IFERROR(__xludf.DUMMYFUNCTION("""COMPUTED_VALUE"""),489)</f>
        <v>489</v>
      </c>
      <c r="F1345">
        <v>499</v>
      </c>
      <c r="G1345">
        <v>0.97995991983967934</v>
      </c>
      <c r="H1345">
        <v>2866</v>
      </c>
      <c r="I1345">
        <v>4613</v>
      </c>
      <c r="J1345">
        <v>2866</v>
      </c>
      <c r="K1345">
        <v>0.99685777982400403</v>
      </c>
      <c r="L1345">
        <f t="shared" ca="1" si="131"/>
        <v>303.85041899999999</v>
      </c>
      <c r="M1345">
        <f t="shared" si="132"/>
        <v>310.06412899999998</v>
      </c>
      <c r="N1345">
        <v>2866</v>
      </c>
      <c r="O1345">
        <f t="shared" ca="1" si="126"/>
        <v>0.97995991983967934</v>
      </c>
    </row>
    <row r="1346" spans="1:15" x14ac:dyDescent="0.2">
      <c r="A1346" t="str">
        <f ca="1">IFERROR(__xludf.DUMMYFUNCTION("""COMPUTED_VALUE"""),"km")</f>
        <v>km</v>
      </c>
      <c r="B1346" t="str">
        <f ca="1">IFERROR(__xludf.DUMMYFUNCTION("""COMPUTED_VALUE"""),"Model X 75D")</f>
        <v>Model X 75D</v>
      </c>
      <c r="C1346">
        <f ca="1">IFERROR(__xludf.DUMMYFUNCTION("""COMPUTED_VALUE"""),373)</f>
        <v>373</v>
      </c>
      <c r="D1346">
        <f ca="1">IFERROR(__xludf.DUMMYFUNCTION("""COMPUTED_VALUE"""),12747)</f>
        <v>12747</v>
      </c>
      <c r="E1346">
        <f ca="1">IFERROR(__xludf.DUMMYFUNCTION("""COMPUTED_VALUE"""),369.5)</f>
        <v>369.5</v>
      </c>
      <c r="F1346">
        <v>377</v>
      </c>
      <c r="G1346">
        <v>0.980106100795756</v>
      </c>
      <c r="H1346">
        <v>7921</v>
      </c>
      <c r="I1346">
        <v>12747</v>
      </c>
      <c r="J1346">
        <v>7921</v>
      </c>
      <c r="K1346">
        <v>0.99141055771290887</v>
      </c>
      <c r="L1346">
        <f t="shared" ca="1" si="131"/>
        <v>229.59658450000001</v>
      </c>
      <c r="M1346">
        <f t="shared" si="132"/>
        <v>234.256867</v>
      </c>
      <c r="N1346">
        <v>7921</v>
      </c>
      <c r="O1346">
        <f t="shared" ref="O1346:O1409" ca="1" si="133">L1346/M1346</f>
        <v>0.980106100795756</v>
      </c>
    </row>
    <row r="1347" spans="1:15" x14ac:dyDescent="0.2">
      <c r="A1347" t="str">
        <f ca="1">IFERROR(__xludf.DUMMYFUNCTION("""COMPUTED_VALUE"""),"km")</f>
        <v>km</v>
      </c>
      <c r="B1347" t="str">
        <f ca="1">IFERROR(__xludf.DUMMYFUNCTION("""COMPUTED_VALUE"""),"Model S P85D")</f>
        <v>Model S P85D</v>
      </c>
      <c r="C1347">
        <f ca="1">IFERROR(__xludf.DUMMYFUNCTION("""COMPUTED_VALUE"""),406)</f>
        <v>406</v>
      </c>
      <c r="D1347">
        <f ca="1">IFERROR(__xludf.DUMMYFUNCTION("""COMPUTED_VALUE"""),11403)</f>
        <v>11403</v>
      </c>
      <c r="E1347">
        <f ca="1">IFERROR(__xludf.DUMMYFUNCTION("""COMPUTED_VALUE"""),395)</f>
        <v>395</v>
      </c>
      <c r="F1347">
        <v>403</v>
      </c>
      <c r="G1347">
        <v>0.98014888337468986</v>
      </c>
      <c r="H1347">
        <v>7085</v>
      </c>
      <c r="I1347">
        <v>11403</v>
      </c>
      <c r="J1347">
        <v>7085</v>
      </c>
      <c r="K1347">
        <v>0.99230236028882346</v>
      </c>
      <c r="L1347">
        <f t="shared" ca="1" si="131"/>
        <v>245.44154499999999</v>
      </c>
      <c r="M1347">
        <f t="shared" si="132"/>
        <v>250.41251299999999</v>
      </c>
      <c r="N1347">
        <v>7085</v>
      </c>
      <c r="O1347">
        <f t="shared" ca="1" si="133"/>
        <v>0.98014888337468986</v>
      </c>
    </row>
    <row r="1348" spans="1:15" x14ac:dyDescent="0.2">
      <c r="A1348" t="str">
        <f ca="1">IFERROR(__xludf.DUMMYFUNCTION("""COMPUTED_VALUE"""),"mi")</f>
        <v>mi</v>
      </c>
      <c r="B1348" t="str">
        <f ca="1">IFERROR(__xludf.DUMMYFUNCTION("""COMPUTED_VALUE"""),"Model S P85D")</f>
        <v>Model S P85D</v>
      </c>
      <c r="C1348">
        <f ca="1">IFERROR(__xludf.DUMMYFUNCTION("""COMPUTED_VALUE"""),253)</f>
        <v>253</v>
      </c>
      <c r="D1348">
        <f ca="1">IFERROR(__xludf.DUMMYFUNCTION("""COMPUTED_VALUE"""),12800)</f>
        <v>12800</v>
      </c>
      <c r="E1348">
        <f ca="1">IFERROR(__xludf.DUMMYFUNCTION("""COMPUTED_VALUE"""),248)</f>
        <v>248</v>
      </c>
      <c r="F1348">
        <v>253</v>
      </c>
      <c r="G1348">
        <v>0.98023715415019763</v>
      </c>
      <c r="H1348">
        <v>12800</v>
      </c>
      <c r="I1348">
        <v>20600</v>
      </c>
      <c r="J1348">
        <v>12800</v>
      </c>
      <c r="K1348">
        <v>0.98626547728010472</v>
      </c>
      <c r="L1348">
        <f ca="1">IFERROR(__xludf.DUMMYFUNCTION("""COMPUTED_VALUE"""),248)</f>
        <v>248</v>
      </c>
      <c r="M1348">
        <v>253</v>
      </c>
      <c r="N1348">
        <v>12800</v>
      </c>
      <c r="O1348">
        <f t="shared" ca="1" si="133"/>
        <v>0.98023715415019763</v>
      </c>
    </row>
    <row r="1349" spans="1:15" x14ac:dyDescent="0.2">
      <c r="A1349" t="str">
        <f ca="1">IFERROR(__xludf.DUMMYFUNCTION("""COMPUTED_VALUE"""),"km")</f>
        <v>km</v>
      </c>
      <c r="B1349" t="str">
        <f ca="1">IFERROR(__xludf.DUMMYFUNCTION("""COMPUTED_VALUE"""),"Model S 100D")</f>
        <v>Model S 100D</v>
      </c>
      <c r="C1349">
        <f ca="1">IFERROR(__xludf.DUMMYFUNCTION("""COMPUTED_VALUE"""),504)</f>
        <v>504</v>
      </c>
      <c r="D1349">
        <f ca="1">IFERROR(__xludf.DUMMYFUNCTION("""COMPUTED_VALUE"""),6196)</f>
        <v>6196</v>
      </c>
      <c r="E1349">
        <f ca="1">IFERROR(__xludf.DUMMYFUNCTION("""COMPUTED_VALUE"""),500)</f>
        <v>500</v>
      </c>
      <c r="F1349">
        <v>510</v>
      </c>
      <c r="G1349">
        <v>0.98039215686274506</v>
      </c>
      <c r="H1349">
        <v>3850</v>
      </c>
      <c r="I1349">
        <v>6196</v>
      </c>
      <c r="J1349">
        <v>3850</v>
      </c>
      <c r="K1349">
        <v>0.99578830561909859</v>
      </c>
      <c r="L1349">
        <f t="shared" ref="L1349:M1356" ca="1" si="134">E1349*0.621371</f>
        <v>310.68549999999999</v>
      </c>
      <c r="M1349">
        <f t="shared" si="134"/>
        <v>316.89920999999998</v>
      </c>
      <c r="N1349">
        <v>3850</v>
      </c>
      <c r="O1349">
        <f t="shared" ca="1" si="133"/>
        <v>0.98039215686274517</v>
      </c>
    </row>
    <row r="1350" spans="1:15" x14ac:dyDescent="0.2">
      <c r="A1350" t="str">
        <f ca="1">IFERROR(__xludf.DUMMYFUNCTION("""COMPUTED_VALUE"""),"km")</f>
        <v>km</v>
      </c>
      <c r="B1350" t="str">
        <f ca="1">IFERROR(__xludf.DUMMYFUNCTION("""COMPUTED_VALUE"""),"Model S 70D")</f>
        <v>Model S 70D</v>
      </c>
      <c r="D1350">
        <f ca="1">IFERROR(__xludf.DUMMYFUNCTION("""COMPUTED_VALUE"""),40000)</f>
        <v>40000</v>
      </c>
      <c r="E1350">
        <f ca="1">IFERROR(__xludf.DUMMYFUNCTION("""COMPUTED_VALUE"""),353)</f>
        <v>353</v>
      </c>
      <c r="F1350">
        <v>360</v>
      </c>
      <c r="G1350">
        <v>0.98055555555555551</v>
      </c>
      <c r="H1350">
        <v>24855</v>
      </c>
      <c r="I1350">
        <v>40000</v>
      </c>
      <c r="J1350">
        <v>24855</v>
      </c>
      <c r="K1350">
        <v>0.97404149828964304</v>
      </c>
      <c r="L1350">
        <f t="shared" ca="1" si="134"/>
        <v>219.343963</v>
      </c>
      <c r="M1350">
        <f t="shared" si="134"/>
        <v>223.69355999999999</v>
      </c>
      <c r="N1350">
        <v>24855</v>
      </c>
      <c r="O1350">
        <f t="shared" ca="1" si="133"/>
        <v>0.98055555555555562</v>
      </c>
    </row>
    <row r="1351" spans="1:15" x14ac:dyDescent="0.2">
      <c r="A1351" t="str">
        <f ca="1">IFERROR(__xludf.DUMMYFUNCTION("""COMPUTED_VALUE"""),"km")</f>
        <v>km</v>
      </c>
      <c r="B1351" t="str">
        <f ca="1">IFERROR(__xludf.DUMMYFUNCTION("""COMPUTED_VALUE"""),"Model S 70D")</f>
        <v>Model S 70D</v>
      </c>
      <c r="C1351">
        <f ca="1">IFERROR(__xludf.DUMMYFUNCTION("""COMPUTED_VALUE"""),360)</f>
        <v>360</v>
      </c>
      <c r="D1351">
        <f ca="1">IFERROR(__xludf.DUMMYFUNCTION("""COMPUTED_VALUE"""),73105)</f>
        <v>73105</v>
      </c>
      <c r="E1351">
        <f ca="1">IFERROR(__xludf.DUMMYFUNCTION("""COMPUTED_VALUE"""),353)</f>
        <v>353</v>
      </c>
      <c r="F1351">
        <v>360</v>
      </c>
      <c r="G1351">
        <v>0.98055555555555551</v>
      </c>
      <c r="H1351">
        <v>45425</v>
      </c>
      <c r="I1351">
        <v>73105</v>
      </c>
      <c r="J1351">
        <v>45425</v>
      </c>
      <c r="K1351">
        <v>0.95481807370708993</v>
      </c>
      <c r="L1351">
        <f t="shared" ca="1" si="134"/>
        <v>219.343963</v>
      </c>
      <c r="M1351">
        <f t="shared" si="134"/>
        <v>223.69355999999999</v>
      </c>
      <c r="N1351">
        <v>45425</v>
      </c>
      <c r="O1351">
        <f t="shared" ca="1" si="133"/>
        <v>0.98055555555555562</v>
      </c>
    </row>
    <row r="1352" spans="1:15" x14ac:dyDescent="0.2">
      <c r="A1352" t="str">
        <f ca="1">IFERROR(__xludf.DUMMYFUNCTION("""COMPUTED_VALUE"""),"km")</f>
        <v>km</v>
      </c>
      <c r="B1352" t="str">
        <f ca="1">IFERROR(__xludf.DUMMYFUNCTION("""COMPUTED_VALUE"""),"Model S 70D")</f>
        <v>Model S 70D</v>
      </c>
      <c r="C1352">
        <f ca="1">IFERROR(__xludf.DUMMYFUNCTION("""COMPUTED_VALUE"""),360)</f>
        <v>360</v>
      </c>
      <c r="D1352">
        <f ca="1">IFERROR(__xludf.DUMMYFUNCTION("""COMPUTED_VALUE"""),43787)</f>
        <v>43787</v>
      </c>
      <c r="E1352">
        <f ca="1">IFERROR(__xludf.DUMMYFUNCTION("""COMPUTED_VALUE"""),353)</f>
        <v>353</v>
      </c>
      <c r="F1352">
        <v>360</v>
      </c>
      <c r="G1352">
        <v>0.98055555555555551</v>
      </c>
      <c r="H1352">
        <v>27208</v>
      </c>
      <c r="I1352">
        <v>43787</v>
      </c>
      <c r="J1352">
        <v>27208</v>
      </c>
      <c r="K1352">
        <v>0.97173703768357367</v>
      </c>
      <c r="L1352">
        <f t="shared" ca="1" si="134"/>
        <v>219.343963</v>
      </c>
      <c r="M1352">
        <f t="shared" si="134"/>
        <v>223.69355999999999</v>
      </c>
      <c r="N1352">
        <v>27208</v>
      </c>
      <c r="O1352">
        <f t="shared" ca="1" si="133"/>
        <v>0.98055555555555562</v>
      </c>
    </row>
    <row r="1353" spans="1:15" x14ac:dyDescent="0.2">
      <c r="A1353" t="str">
        <f ca="1">IFERROR(__xludf.DUMMYFUNCTION("""COMPUTED_VALUE"""),"km")</f>
        <v>km</v>
      </c>
      <c r="B1353" t="str">
        <f ca="1">IFERROR(__xludf.DUMMYFUNCTION("""COMPUTED_VALUE"""),"Model S 70D")</f>
        <v>Model S 70D</v>
      </c>
      <c r="D1353">
        <f ca="1">IFERROR(__xludf.DUMMYFUNCTION("""COMPUTED_VALUE"""),17800)</f>
        <v>17800</v>
      </c>
      <c r="E1353">
        <f ca="1">IFERROR(__xludf.DUMMYFUNCTION("""COMPUTED_VALUE"""),353)</f>
        <v>353</v>
      </c>
      <c r="F1353">
        <v>360</v>
      </c>
      <c r="G1353">
        <v>0.98055555555555551</v>
      </c>
      <c r="H1353">
        <v>11060</v>
      </c>
      <c r="I1353">
        <v>17800</v>
      </c>
      <c r="J1353">
        <v>11060</v>
      </c>
      <c r="K1353">
        <v>0.98808705721130963</v>
      </c>
      <c r="L1353">
        <f t="shared" ca="1" si="134"/>
        <v>219.343963</v>
      </c>
      <c r="M1353">
        <f t="shared" si="134"/>
        <v>223.69355999999999</v>
      </c>
      <c r="N1353">
        <v>11060</v>
      </c>
      <c r="O1353">
        <f t="shared" ca="1" si="133"/>
        <v>0.98055555555555562</v>
      </c>
    </row>
    <row r="1354" spans="1:15" x14ac:dyDescent="0.2">
      <c r="A1354" t="str">
        <f ca="1">IFERROR(__xludf.DUMMYFUNCTION("""COMPUTED_VALUE"""),"km")</f>
        <v>km</v>
      </c>
      <c r="B1354" t="str">
        <f ca="1">IFERROR(__xludf.DUMMYFUNCTION("""COMPUTED_VALUE"""),"Model S 85D")</f>
        <v>Model S 85D</v>
      </c>
      <c r="C1354">
        <f ca="1">IFERROR(__xludf.DUMMYFUNCTION("""COMPUTED_VALUE"""),428)</f>
        <v>428</v>
      </c>
      <c r="D1354">
        <f ca="1">IFERROR(__xludf.DUMMYFUNCTION("""COMPUTED_VALUE"""),52000)</f>
        <v>52000</v>
      </c>
      <c r="E1354">
        <f ca="1">IFERROR(__xludf.DUMMYFUNCTION("""COMPUTED_VALUE"""),417)</f>
        <v>417</v>
      </c>
      <c r="F1354">
        <v>425</v>
      </c>
      <c r="G1354">
        <v>0.98117647058823532</v>
      </c>
      <c r="H1354">
        <v>32311</v>
      </c>
      <c r="I1354">
        <v>52000</v>
      </c>
      <c r="J1354">
        <v>32311</v>
      </c>
      <c r="K1354">
        <v>0.96683210767396877</v>
      </c>
      <c r="L1354">
        <f t="shared" ca="1" si="134"/>
        <v>259.11170700000002</v>
      </c>
      <c r="M1354">
        <f t="shared" si="134"/>
        <v>264.08267499999999</v>
      </c>
      <c r="N1354">
        <v>32311</v>
      </c>
      <c r="O1354">
        <f t="shared" ca="1" si="133"/>
        <v>0.98117647058823543</v>
      </c>
    </row>
    <row r="1355" spans="1:15" x14ac:dyDescent="0.2">
      <c r="A1355" t="str">
        <f ca="1">IFERROR(__xludf.DUMMYFUNCTION("""COMPUTED_VALUE"""),"km")</f>
        <v>km</v>
      </c>
      <c r="B1355" t="str">
        <f ca="1">IFERROR(__xludf.DUMMYFUNCTION("""COMPUTED_VALUE"""),"Model S 85D")</f>
        <v>Model S 85D</v>
      </c>
      <c r="D1355">
        <f ca="1">IFERROR(__xludf.DUMMYFUNCTION("""COMPUTED_VALUE"""),74973)</f>
        <v>74973</v>
      </c>
      <c r="E1355">
        <f ca="1">IFERROR(__xludf.DUMMYFUNCTION("""COMPUTED_VALUE"""),417)</f>
        <v>417</v>
      </c>
      <c r="F1355">
        <v>425</v>
      </c>
      <c r="G1355">
        <v>0.98117647058823532</v>
      </c>
      <c r="H1355">
        <v>46586</v>
      </c>
      <c r="I1355">
        <v>74973</v>
      </c>
      <c r="J1355">
        <v>46586</v>
      </c>
      <c r="K1355">
        <v>0.95379613207538039</v>
      </c>
      <c r="L1355">
        <f t="shared" ca="1" si="134"/>
        <v>259.11170700000002</v>
      </c>
      <c r="M1355">
        <f t="shared" si="134"/>
        <v>264.08267499999999</v>
      </c>
      <c r="N1355">
        <v>46586</v>
      </c>
      <c r="O1355">
        <f t="shared" ca="1" si="133"/>
        <v>0.98117647058823543</v>
      </c>
    </row>
    <row r="1356" spans="1:15" x14ac:dyDescent="0.2">
      <c r="A1356" t="str">
        <f ca="1">IFERROR(__xludf.DUMMYFUNCTION("""COMPUTED_VALUE"""),"km")</f>
        <v>km</v>
      </c>
      <c r="B1356" t="str">
        <f ca="1">IFERROR(__xludf.DUMMYFUNCTION("""COMPUTED_VALUE"""),"Model S 85D")</f>
        <v>Model S 85D</v>
      </c>
      <c r="D1356">
        <f ca="1">IFERROR(__xludf.DUMMYFUNCTION("""COMPUTED_VALUE"""),66604)</f>
        <v>66604</v>
      </c>
      <c r="E1356">
        <f ca="1">IFERROR(__xludf.DUMMYFUNCTION("""COMPUTED_VALUE"""),417)</f>
        <v>417</v>
      </c>
      <c r="F1356">
        <v>425</v>
      </c>
      <c r="G1356">
        <v>0.98117647058823532</v>
      </c>
      <c r="H1356">
        <v>41386</v>
      </c>
      <c r="I1356">
        <v>66604</v>
      </c>
      <c r="J1356">
        <v>41386</v>
      </c>
      <c r="K1356">
        <v>0.9584274291261643</v>
      </c>
      <c r="L1356">
        <f t="shared" ca="1" si="134"/>
        <v>259.11170700000002</v>
      </c>
      <c r="M1356">
        <f t="shared" si="134"/>
        <v>264.08267499999999</v>
      </c>
      <c r="N1356">
        <v>41386</v>
      </c>
      <c r="O1356">
        <f t="shared" ca="1" si="133"/>
        <v>0.98117647058823543</v>
      </c>
    </row>
    <row r="1357" spans="1:15" x14ac:dyDescent="0.2">
      <c r="A1357" t="str">
        <f ca="1">IFERROR(__xludf.DUMMYFUNCTION("""COMPUTED_VALUE"""),"mi")</f>
        <v>mi</v>
      </c>
      <c r="B1357" t="str">
        <f ca="1">IFERROR(__xludf.DUMMYFUNCTION("""COMPUTED_VALUE"""),"Model S P85")</f>
        <v>Model S P85</v>
      </c>
      <c r="C1357">
        <f ca="1">IFERROR(__xludf.DUMMYFUNCTION("""COMPUTED_VALUE"""),265)</f>
        <v>265</v>
      </c>
      <c r="D1357">
        <f ca="1">IFERROR(__xludf.DUMMYFUNCTION("""COMPUTED_VALUE"""),38010)</f>
        <v>38010</v>
      </c>
      <c r="E1357">
        <f ca="1">IFERROR(__xludf.DUMMYFUNCTION("""COMPUTED_VALUE"""),261)</f>
        <v>261</v>
      </c>
      <c r="F1357">
        <v>266</v>
      </c>
      <c r="G1357">
        <v>0.98120300751879697</v>
      </c>
      <c r="H1357">
        <v>38010</v>
      </c>
      <c r="I1357">
        <v>61171</v>
      </c>
      <c r="J1357">
        <v>38010</v>
      </c>
      <c r="K1357">
        <v>0.96150642759650462</v>
      </c>
      <c r="L1357">
        <f ca="1">IFERROR(__xludf.DUMMYFUNCTION("""COMPUTED_VALUE"""),261)</f>
        <v>261</v>
      </c>
      <c r="M1357">
        <v>266</v>
      </c>
      <c r="N1357">
        <v>38010</v>
      </c>
      <c r="O1357">
        <f t="shared" ca="1" si="133"/>
        <v>0.98120300751879697</v>
      </c>
    </row>
    <row r="1358" spans="1:15" x14ac:dyDescent="0.2">
      <c r="A1358" t="str">
        <f ca="1">IFERROR(__xludf.DUMMYFUNCTION("""COMPUTED_VALUE"""),"mi")</f>
        <v>mi</v>
      </c>
      <c r="B1358" t="str">
        <f ca="1">IFERROR(__xludf.DUMMYFUNCTION("""COMPUTED_VALUE"""),"Model S P85")</f>
        <v>Model S P85</v>
      </c>
      <c r="C1358">
        <f ca="1">IFERROR(__xludf.DUMMYFUNCTION("""COMPUTED_VALUE"""),265)</f>
        <v>265</v>
      </c>
      <c r="D1358">
        <f ca="1">IFERROR(__xludf.DUMMYFUNCTION("""COMPUTED_VALUE"""),34970)</f>
        <v>34970</v>
      </c>
      <c r="E1358">
        <f ca="1">IFERROR(__xludf.DUMMYFUNCTION("""COMPUTED_VALUE"""),261)</f>
        <v>261</v>
      </c>
      <c r="F1358">
        <v>266</v>
      </c>
      <c r="G1358">
        <v>0.98120300751879697</v>
      </c>
      <c r="H1358">
        <v>34970</v>
      </c>
      <c r="I1358">
        <v>56279</v>
      </c>
      <c r="J1358">
        <v>34970</v>
      </c>
      <c r="K1358">
        <v>0.96432728441685855</v>
      </c>
      <c r="L1358">
        <f ca="1">IFERROR(__xludf.DUMMYFUNCTION("""COMPUTED_VALUE"""),261)</f>
        <v>261</v>
      </c>
      <c r="M1358">
        <v>266</v>
      </c>
      <c r="N1358">
        <v>34970</v>
      </c>
      <c r="O1358">
        <f t="shared" ca="1" si="133"/>
        <v>0.98120300751879697</v>
      </c>
    </row>
    <row r="1359" spans="1:15" x14ac:dyDescent="0.2">
      <c r="A1359" t="str">
        <f ca="1">IFERROR(__xludf.DUMMYFUNCTION("""COMPUTED_VALUE"""),"mi")</f>
        <v>mi</v>
      </c>
      <c r="B1359" t="str">
        <f ca="1">IFERROR(__xludf.DUMMYFUNCTION("""COMPUTED_VALUE"""),"Model S 85")</f>
        <v>Model S 85</v>
      </c>
      <c r="D1359">
        <f ca="1">IFERROR(__xludf.DUMMYFUNCTION("""COMPUTED_VALUE"""),27744)</f>
        <v>27744</v>
      </c>
      <c r="E1359">
        <f ca="1">IFERROR(__xludf.DUMMYFUNCTION("""COMPUTED_VALUE"""),261)</f>
        <v>261</v>
      </c>
      <c r="F1359">
        <v>266</v>
      </c>
      <c r="G1359">
        <v>0.98120300751879697</v>
      </c>
      <c r="H1359">
        <v>27744</v>
      </c>
      <c r="I1359">
        <v>44650</v>
      </c>
      <c r="J1359">
        <v>27744</v>
      </c>
      <c r="K1359">
        <v>0.97121565546035515</v>
      </c>
      <c r="L1359">
        <f ca="1">IFERROR(__xludf.DUMMYFUNCTION("""COMPUTED_VALUE"""),261)</f>
        <v>261</v>
      </c>
      <c r="M1359">
        <v>266</v>
      </c>
      <c r="N1359">
        <v>27744</v>
      </c>
      <c r="O1359">
        <f t="shared" ca="1" si="133"/>
        <v>0.98120300751879697</v>
      </c>
    </row>
    <row r="1360" spans="1:15" x14ac:dyDescent="0.2">
      <c r="A1360" t="str">
        <f ca="1">IFERROR(__xludf.DUMMYFUNCTION("""COMPUTED_VALUE"""),"km")</f>
        <v>km</v>
      </c>
      <c r="B1360" t="str">
        <f ca="1">IFERROR(__xludf.DUMMYFUNCTION("""COMPUTED_VALUE"""),"Model S 85")</f>
        <v>Model S 85</v>
      </c>
      <c r="D1360">
        <f ca="1">IFERROR(__xludf.DUMMYFUNCTION("""COMPUTED_VALUE"""),46800)</f>
        <v>46800</v>
      </c>
      <c r="E1360">
        <f ca="1">IFERROR(__xludf.DUMMYFUNCTION("""COMPUTED_VALUE"""),420)</f>
        <v>420</v>
      </c>
      <c r="F1360">
        <v>428</v>
      </c>
      <c r="G1360">
        <v>0.98130841121495327</v>
      </c>
      <c r="H1360">
        <v>29080</v>
      </c>
      <c r="I1360">
        <v>46800</v>
      </c>
      <c r="J1360">
        <v>29080</v>
      </c>
      <c r="K1360">
        <v>0.96992283163787651</v>
      </c>
      <c r="L1360">
        <f ca="1">E1360*0.621371</f>
        <v>260.97582</v>
      </c>
      <c r="M1360">
        <f>F1360*0.621371</f>
        <v>265.94678800000003</v>
      </c>
      <c r="N1360">
        <v>29080</v>
      </c>
      <c r="O1360">
        <f t="shared" ca="1" si="133"/>
        <v>0.98130841121495316</v>
      </c>
    </row>
    <row r="1361" spans="1:15" x14ac:dyDescent="0.2">
      <c r="A1361" t="str">
        <f ca="1">IFERROR(__xludf.DUMMYFUNCTION("""COMPUTED_VALUE"""),"km")</f>
        <v>km</v>
      </c>
      <c r="B1361" t="str">
        <f ca="1">IFERROR(__xludf.DUMMYFUNCTION("""COMPUTED_VALUE"""),"Model S 75")</f>
        <v>Model S 75</v>
      </c>
      <c r="C1361">
        <f ca="1">IFERROR(__xludf.DUMMYFUNCTION("""COMPUTED_VALUE"""),373)</f>
        <v>373</v>
      </c>
      <c r="D1361">
        <f ca="1">IFERROR(__xludf.DUMMYFUNCTION("""COMPUTED_VALUE"""),17013)</f>
        <v>17013</v>
      </c>
      <c r="E1361">
        <f ca="1">IFERROR(__xludf.DUMMYFUNCTION("""COMPUTED_VALUE"""),368)</f>
        <v>368</v>
      </c>
      <c r="F1361">
        <v>375</v>
      </c>
      <c r="G1361">
        <v>0.98133333333333328</v>
      </c>
      <c r="H1361">
        <v>10571</v>
      </c>
      <c r="I1361">
        <v>17013</v>
      </c>
      <c r="J1361">
        <v>10571</v>
      </c>
      <c r="K1361">
        <v>0.98860163070348461</v>
      </c>
      <c r="L1361">
        <f ca="1">E1361*0.621371</f>
        <v>228.66452799999999</v>
      </c>
      <c r="M1361">
        <f>F1361*0.621371</f>
        <v>233.01412500000001</v>
      </c>
      <c r="N1361">
        <v>10571</v>
      </c>
      <c r="O1361">
        <f t="shared" ca="1" si="133"/>
        <v>0.98133333333333328</v>
      </c>
    </row>
    <row r="1362" spans="1:15" x14ac:dyDescent="0.2">
      <c r="A1362" t="str">
        <f ca="1">IFERROR(__xludf.DUMMYFUNCTION("""COMPUTED_VALUE"""),"mi")</f>
        <v>mi</v>
      </c>
      <c r="B1362" t="str">
        <f ca="1">IFERROR(__xludf.DUMMYFUNCTION("""COMPUTED_VALUE"""),"Model S 85D")</f>
        <v>Model S 85D</v>
      </c>
      <c r="D1362">
        <f ca="1">IFERROR(__xludf.DUMMYFUNCTION("""COMPUTED_VALUE"""),32123)</f>
        <v>32123</v>
      </c>
      <c r="E1362">
        <f ca="1">IFERROR(__xludf.DUMMYFUNCTION("""COMPUTED_VALUE"""),265)</f>
        <v>265</v>
      </c>
      <c r="F1362">
        <v>270</v>
      </c>
      <c r="G1362">
        <v>0.98148148148148151</v>
      </c>
      <c r="H1362">
        <v>32123</v>
      </c>
      <c r="I1362">
        <v>51697</v>
      </c>
      <c r="J1362">
        <v>32123</v>
      </c>
      <c r="K1362">
        <v>0.96701079632887554</v>
      </c>
      <c r="L1362">
        <f ca="1">IFERROR(__xludf.DUMMYFUNCTION("""COMPUTED_VALUE"""),265)</f>
        <v>265</v>
      </c>
      <c r="M1362">
        <v>270</v>
      </c>
      <c r="N1362">
        <v>32123</v>
      </c>
      <c r="O1362">
        <f t="shared" ca="1" si="133"/>
        <v>0.98148148148148151</v>
      </c>
    </row>
    <row r="1363" spans="1:15" x14ac:dyDescent="0.2">
      <c r="A1363" t="str">
        <f ca="1">IFERROR(__xludf.DUMMYFUNCTION("""COMPUTED_VALUE"""),"mi")</f>
        <v>mi</v>
      </c>
      <c r="B1363" t="str">
        <f ca="1">IFERROR(__xludf.DUMMYFUNCTION("""COMPUTED_VALUE"""),"Model 3 LR")</f>
        <v>Model 3 LR</v>
      </c>
      <c r="C1363">
        <f ca="1">IFERROR(__xludf.DUMMYFUNCTION("""COMPUTED_VALUE"""),320)</f>
        <v>320</v>
      </c>
      <c r="D1363">
        <f ca="1">IFERROR(__xludf.DUMMYFUNCTION("""COMPUTED_VALUE"""),6000)</f>
        <v>6000</v>
      </c>
      <c r="E1363">
        <f ca="1">IFERROR(__xludf.DUMMYFUNCTION("""COMPUTED_VALUE"""),319)</f>
        <v>319</v>
      </c>
      <c r="F1363">
        <v>325</v>
      </c>
      <c r="G1363">
        <v>0.98153846153846158</v>
      </c>
      <c r="H1363">
        <v>6000</v>
      </c>
      <c r="I1363">
        <v>9656</v>
      </c>
      <c r="J1363">
        <v>6000</v>
      </c>
      <c r="K1363">
        <v>0.99346646484289303</v>
      </c>
      <c r="L1363">
        <f ca="1">IFERROR(__xludf.DUMMYFUNCTION("""COMPUTED_VALUE"""),319)</f>
        <v>319</v>
      </c>
      <c r="M1363">
        <v>325</v>
      </c>
      <c r="N1363">
        <v>6000</v>
      </c>
      <c r="O1363">
        <f t="shared" ca="1" si="133"/>
        <v>0.98153846153846158</v>
      </c>
    </row>
    <row r="1364" spans="1:15" x14ac:dyDescent="0.2">
      <c r="A1364" t="str">
        <f ca="1">IFERROR(__xludf.DUMMYFUNCTION("""COMPUTED_VALUE"""),"mi")</f>
        <v>mi</v>
      </c>
      <c r="B1364" t="str">
        <f ca="1">IFERROR(__xludf.DUMMYFUNCTION("""COMPUTED_VALUE"""),"Model 3 LR")</f>
        <v>Model 3 LR</v>
      </c>
      <c r="C1364">
        <f ca="1">IFERROR(__xludf.DUMMYFUNCTION("""COMPUTED_VALUE"""),310)</f>
        <v>310</v>
      </c>
      <c r="D1364">
        <f ca="1">IFERROR(__xludf.DUMMYFUNCTION("""COMPUTED_VALUE"""),16500)</f>
        <v>16500</v>
      </c>
      <c r="E1364">
        <f ca="1">IFERROR(__xludf.DUMMYFUNCTION("""COMPUTED_VALUE"""),319)</f>
        <v>319</v>
      </c>
      <c r="F1364">
        <v>325</v>
      </c>
      <c r="G1364">
        <v>0.98153846153846158</v>
      </c>
      <c r="H1364">
        <v>16500</v>
      </c>
      <c r="I1364">
        <v>26554</v>
      </c>
      <c r="J1364">
        <v>16500</v>
      </c>
      <c r="K1364">
        <v>0.98243981459761376</v>
      </c>
      <c r="L1364">
        <f ca="1">IFERROR(__xludf.DUMMYFUNCTION("""COMPUTED_VALUE"""),319)</f>
        <v>319</v>
      </c>
      <c r="M1364">
        <v>325</v>
      </c>
      <c r="N1364">
        <v>16500</v>
      </c>
      <c r="O1364">
        <f t="shared" ca="1" si="133"/>
        <v>0.98153846153846158</v>
      </c>
    </row>
    <row r="1365" spans="1:15" x14ac:dyDescent="0.2">
      <c r="A1365" t="str">
        <f ca="1">IFERROR(__xludf.DUMMYFUNCTION("""COMPUTED_VALUE"""),"km")</f>
        <v>km</v>
      </c>
      <c r="B1365" t="str">
        <f ca="1">IFERROR(__xludf.DUMMYFUNCTION("""COMPUTED_VALUE"""),"Model 3 LR AWD")</f>
        <v>Model 3 LR AWD</v>
      </c>
      <c r="C1365">
        <f ca="1">IFERROR(__xludf.DUMMYFUNCTION("""COMPUTED_VALUE"""),497)</f>
        <v>497</v>
      </c>
      <c r="D1365">
        <f ca="1">IFERROR(__xludf.DUMMYFUNCTION("""COMPUTED_VALUE"""),24244)</f>
        <v>24244</v>
      </c>
      <c r="E1365">
        <f ca="1">IFERROR(__xludf.DUMMYFUNCTION("""COMPUTED_VALUE"""),490)</f>
        <v>490</v>
      </c>
      <c r="F1365">
        <v>499</v>
      </c>
      <c r="G1365">
        <v>0.9819639278557114</v>
      </c>
      <c r="H1365">
        <v>15065</v>
      </c>
      <c r="I1365">
        <v>24244</v>
      </c>
      <c r="J1365">
        <v>15065</v>
      </c>
      <c r="K1365">
        <v>0.9839163359666917</v>
      </c>
      <c r="L1365">
        <f t="shared" ref="L1365:L1394" ca="1" si="135">E1365*0.621371</f>
        <v>304.47179</v>
      </c>
      <c r="M1365">
        <f t="shared" ref="M1365:M1394" si="136">F1365*0.621371</f>
        <v>310.06412899999998</v>
      </c>
      <c r="N1365">
        <v>15065</v>
      </c>
      <c r="O1365">
        <f t="shared" ca="1" si="133"/>
        <v>0.98196392785571152</v>
      </c>
    </row>
    <row r="1366" spans="1:15" x14ac:dyDescent="0.2">
      <c r="A1366" t="str">
        <f ca="1">IFERROR(__xludf.DUMMYFUNCTION("""COMPUTED_VALUE"""),"km")</f>
        <v>km</v>
      </c>
      <c r="B1366" t="str">
        <f ca="1">IFERROR(__xludf.DUMMYFUNCTION("""COMPUTED_VALUE"""),"Model S 90D")</f>
        <v>Model S 90D</v>
      </c>
      <c r="C1366">
        <f ca="1">IFERROR(__xludf.DUMMYFUNCTION("""COMPUTED_VALUE"""),451)</f>
        <v>451</v>
      </c>
      <c r="D1366">
        <f ca="1">IFERROR(__xludf.DUMMYFUNCTION("""COMPUTED_VALUE"""),22185)</f>
        <v>22185</v>
      </c>
      <c r="E1366">
        <f ca="1">IFERROR(__xludf.DUMMYFUNCTION("""COMPUTED_VALUE"""),439)</f>
        <v>439</v>
      </c>
      <c r="F1366">
        <v>447</v>
      </c>
      <c r="G1366">
        <v>0.98210290827740487</v>
      </c>
      <c r="H1366">
        <v>13785</v>
      </c>
      <c r="I1366">
        <v>22185</v>
      </c>
      <c r="J1366">
        <v>13785</v>
      </c>
      <c r="K1366">
        <v>0.98524069596695063</v>
      </c>
      <c r="L1366">
        <f t="shared" ca="1" si="135"/>
        <v>272.78186900000003</v>
      </c>
      <c r="M1366">
        <f t="shared" si="136"/>
        <v>277.752837</v>
      </c>
      <c r="N1366">
        <v>13785</v>
      </c>
      <c r="O1366">
        <f t="shared" ca="1" si="133"/>
        <v>0.98210290827740498</v>
      </c>
    </row>
    <row r="1367" spans="1:15" x14ac:dyDescent="0.2">
      <c r="A1367" t="str">
        <f ca="1">IFERROR(__xludf.DUMMYFUNCTION("""COMPUTED_VALUE"""),"km")</f>
        <v>km</v>
      </c>
      <c r="B1367" t="str">
        <f ca="1">IFERROR(__xludf.DUMMYFUNCTION("""COMPUTED_VALUE"""),"Model S 90D")</f>
        <v>Model S 90D</v>
      </c>
      <c r="C1367">
        <f ca="1">IFERROR(__xludf.DUMMYFUNCTION("""COMPUTED_VALUE"""),448)</f>
        <v>448</v>
      </c>
      <c r="D1367">
        <f ca="1">IFERROR(__xludf.DUMMYFUNCTION("""COMPUTED_VALUE"""),20421)</f>
        <v>20421</v>
      </c>
      <c r="E1367">
        <f ca="1">IFERROR(__xludf.DUMMYFUNCTION("""COMPUTED_VALUE"""),439)</f>
        <v>439</v>
      </c>
      <c r="F1367">
        <v>447</v>
      </c>
      <c r="G1367">
        <v>0.98210290827740487</v>
      </c>
      <c r="H1367">
        <v>12689</v>
      </c>
      <c r="I1367">
        <v>20421</v>
      </c>
      <c r="J1367">
        <v>12689</v>
      </c>
      <c r="K1367">
        <v>0.98638149904713168</v>
      </c>
      <c r="L1367">
        <f t="shared" ca="1" si="135"/>
        <v>272.78186900000003</v>
      </c>
      <c r="M1367">
        <f t="shared" si="136"/>
        <v>277.752837</v>
      </c>
      <c r="N1367">
        <v>12689</v>
      </c>
      <c r="O1367">
        <f t="shared" ca="1" si="133"/>
        <v>0.98210290827740498</v>
      </c>
    </row>
    <row r="1368" spans="1:15" x14ac:dyDescent="0.2">
      <c r="A1368" t="str">
        <f ca="1">IFERROR(__xludf.DUMMYFUNCTION("""COMPUTED_VALUE"""),"km")</f>
        <v>km</v>
      </c>
      <c r="B1368" t="str">
        <f ca="1">IFERROR(__xludf.DUMMYFUNCTION("""COMPUTED_VALUE"""),"Model S 90D")</f>
        <v>Model S 90D</v>
      </c>
      <c r="C1368">
        <f ca="1">IFERROR(__xludf.DUMMYFUNCTION("""COMPUTED_VALUE"""),448)</f>
        <v>448</v>
      </c>
      <c r="D1368">
        <f ca="1">IFERROR(__xludf.DUMMYFUNCTION("""COMPUTED_VALUE"""),15001)</f>
        <v>15001</v>
      </c>
      <c r="E1368">
        <f ca="1">IFERROR(__xludf.DUMMYFUNCTION("""COMPUTED_VALUE"""),439)</f>
        <v>439</v>
      </c>
      <c r="F1368">
        <v>447</v>
      </c>
      <c r="G1368">
        <v>0.98210290827740487</v>
      </c>
      <c r="H1368">
        <v>9321</v>
      </c>
      <c r="I1368">
        <v>15001</v>
      </c>
      <c r="J1368">
        <v>9321</v>
      </c>
      <c r="K1368">
        <v>0.98992229522653785</v>
      </c>
      <c r="L1368">
        <f t="shared" ca="1" si="135"/>
        <v>272.78186900000003</v>
      </c>
      <c r="M1368">
        <f t="shared" si="136"/>
        <v>277.752837</v>
      </c>
      <c r="N1368">
        <v>9321</v>
      </c>
      <c r="O1368">
        <f t="shared" ca="1" si="133"/>
        <v>0.98210290827740498</v>
      </c>
    </row>
    <row r="1369" spans="1:15" x14ac:dyDescent="0.2">
      <c r="A1369" t="str">
        <f ca="1">IFERROR(__xludf.DUMMYFUNCTION("""COMPUTED_VALUE"""),"km")</f>
        <v>km</v>
      </c>
      <c r="B1369" t="str">
        <f ca="1">IFERROR(__xludf.DUMMYFUNCTION("""COMPUTED_VALUE"""),"Model S 85")</f>
        <v>Model S 85</v>
      </c>
      <c r="D1369">
        <f ca="1">IFERROR(__xludf.DUMMYFUNCTION("""COMPUTED_VALUE"""),17888)</f>
        <v>17888</v>
      </c>
      <c r="E1369">
        <f ca="1">IFERROR(__xludf.DUMMYFUNCTION("""COMPUTED_VALUE"""),388)</f>
        <v>388</v>
      </c>
      <c r="F1369">
        <v>395</v>
      </c>
      <c r="G1369">
        <v>0.98227848101265824</v>
      </c>
      <c r="H1369">
        <v>11115</v>
      </c>
      <c r="I1369">
        <v>17888</v>
      </c>
      <c r="J1369">
        <v>11115</v>
      </c>
      <c r="K1369">
        <v>0.98802958941806696</v>
      </c>
      <c r="L1369">
        <f t="shared" ca="1" si="135"/>
        <v>241.091948</v>
      </c>
      <c r="M1369">
        <f t="shared" si="136"/>
        <v>245.44154499999999</v>
      </c>
      <c r="N1369">
        <v>11115</v>
      </c>
      <c r="O1369">
        <f t="shared" ca="1" si="133"/>
        <v>0.98227848101265824</v>
      </c>
    </row>
    <row r="1370" spans="1:15" x14ac:dyDescent="0.2">
      <c r="A1370" t="str">
        <f ca="1">IFERROR(__xludf.DUMMYFUNCTION("""COMPUTED_VALUE"""),"km")</f>
        <v>km</v>
      </c>
      <c r="B1370" t="str">
        <f ca="1">IFERROR(__xludf.DUMMYFUNCTION("""COMPUTED_VALUE"""),"Model S 85")</f>
        <v>Model S 85</v>
      </c>
      <c r="D1370">
        <f ca="1">IFERROR(__xludf.DUMMYFUNCTION("""COMPUTED_VALUE"""),69189)</f>
        <v>69189</v>
      </c>
      <c r="E1370">
        <f ca="1">IFERROR(__xludf.DUMMYFUNCTION("""COMPUTED_VALUE"""),388)</f>
        <v>388</v>
      </c>
      <c r="F1370">
        <v>395</v>
      </c>
      <c r="G1370">
        <v>0.98227848101265824</v>
      </c>
      <c r="H1370">
        <v>42992</v>
      </c>
      <c r="I1370">
        <v>69189</v>
      </c>
      <c r="J1370">
        <v>42992</v>
      </c>
      <c r="K1370">
        <v>0.95698243434420927</v>
      </c>
      <c r="L1370">
        <f t="shared" ca="1" si="135"/>
        <v>241.091948</v>
      </c>
      <c r="M1370">
        <f t="shared" si="136"/>
        <v>245.44154499999999</v>
      </c>
      <c r="N1370">
        <v>42992</v>
      </c>
      <c r="O1370">
        <f t="shared" ca="1" si="133"/>
        <v>0.98227848101265824</v>
      </c>
    </row>
    <row r="1371" spans="1:15" x14ac:dyDescent="0.2">
      <c r="A1371" t="str">
        <f ca="1">IFERROR(__xludf.DUMMYFUNCTION("""COMPUTED_VALUE"""),"km")</f>
        <v>km</v>
      </c>
      <c r="B1371" t="str">
        <f ca="1">IFERROR(__xludf.DUMMYFUNCTION("""COMPUTED_VALUE"""),"Model S 85")</f>
        <v>Model S 85</v>
      </c>
      <c r="D1371">
        <f ca="1">IFERROR(__xludf.DUMMYFUNCTION("""COMPUTED_VALUE"""),70518)</f>
        <v>70518</v>
      </c>
      <c r="E1371">
        <f ca="1">IFERROR(__xludf.DUMMYFUNCTION("""COMPUTED_VALUE"""),388)</f>
        <v>388</v>
      </c>
      <c r="F1371">
        <v>395</v>
      </c>
      <c r="G1371">
        <v>0.98227848101265824</v>
      </c>
      <c r="H1371">
        <v>43818</v>
      </c>
      <c r="I1371">
        <v>70518</v>
      </c>
      <c r="J1371">
        <v>43818</v>
      </c>
      <c r="K1371">
        <v>0.9562445659926756</v>
      </c>
      <c r="L1371">
        <f t="shared" ca="1" si="135"/>
        <v>241.091948</v>
      </c>
      <c r="M1371">
        <f t="shared" si="136"/>
        <v>245.44154499999999</v>
      </c>
      <c r="N1371">
        <v>43818</v>
      </c>
      <c r="O1371">
        <f t="shared" ca="1" si="133"/>
        <v>0.98227848101265824</v>
      </c>
    </row>
    <row r="1372" spans="1:15" x14ac:dyDescent="0.2">
      <c r="A1372" t="str">
        <f ca="1">IFERROR(__xludf.DUMMYFUNCTION("""COMPUTED_VALUE"""),"km")</f>
        <v>km</v>
      </c>
      <c r="B1372" t="str">
        <f ca="1">IFERROR(__xludf.DUMMYFUNCTION("""COMPUTED_VALUE"""),"Model S 85")</f>
        <v>Model S 85</v>
      </c>
      <c r="D1372">
        <f ca="1">IFERROR(__xludf.DUMMYFUNCTION("""COMPUTED_VALUE"""),30311)</f>
        <v>30311</v>
      </c>
      <c r="E1372">
        <f ca="1">IFERROR(__xludf.DUMMYFUNCTION("""COMPUTED_VALUE"""),388)</f>
        <v>388</v>
      </c>
      <c r="F1372">
        <v>395</v>
      </c>
      <c r="G1372">
        <v>0.98227848101265824</v>
      </c>
      <c r="H1372">
        <v>18834</v>
      </c>
      <c r="I1372">
        <v>30311</v>
      </c>
      <c r="J1372">
        <v>18834</v>
      </c>
      <c r="K1372">
        <v>0.98005942075248031</v>
      </c>
      <c r="L1372">
        <f t="shared" ca="1" si="135"/>
        <v>241.091948</v>
      </c>
      <c r="M1372">
        <f t="shared" si="136"/>
        <v>245.44154499999999</v>
      </c>
      <c r="N1372">
        <v>18834</v>
      </c>
      <c r="O1372">
        <f t="shared" ca="1" si="133"/>
        <v>0.98227848101265824</v>
      </c>
    </row>
    <row r="1373" spans="1:15" x14ac:dyDescent="0.2">
      <c r="A1373" t="str">
        <f ca="1">IFERROR(__xludf.DUMMYFUNCTION("""COMPUTED_VALUE"""),"km")</f>
        <v>km</v>
      </c>
      <c r="B1373" t="str">
        <f ca="1">IFERROR(__xludf.DUMMYFUNCTION("""COMPUTED_VALUE"""),"Model S P85")</f>
        <v>Model S P85</v>
      </c>
      <c r="C1373">
        <f ca="1">IFERROR(__xludf.DUMMYFUNCTION("""COMPUTED_VALUE"""),408)</f>
        <v>408</v>
      </c>
      <c r="D1373">
        <f ca="1">IFERROR(__xludf.DUMMYFUNCTION("""COMPUTED_VALUE"""),64908)</f>
        <v>64908</v>
      </c>
      <c r="E1373">
        <f ca="1">IFERROR(__xludf.DUMMYFUNCTION("""COMPUTED_VALUE"""),388)</f>
        <v>388</v>
      </c>
      <c r="F1373">
        <v>395</v>
      </c>
      <c r="G1373">
        <v>0.98227848101265824</v>
      </c>
      <c r="H1373">
        <v>40332</v>
      </c>
      <c r="I1373">
        <v>64908</v>
      </c>
      <c r="J1373">
        <v>40332</v>
      </c>
      <c r="K1373">
        <v>0.95938248901874779</v>
      </c>
      <c r="L1373">
        <f t="shared" ca="1" si="135"/>
        <v>241.091948</v>
      </c>
      <c r="M1373">
        <f t="shared" si="136"/>
        <v>245.44154499999999</v>
      </c>
      <c r="N1373">
        <v>40332</v>
      </c>
      <c r="O1373">
        <f t="shared" ca="1" si="133"/>
        <v>0.98227848101265824</v>
      </c>
    </row>
    <row r="1374" spans="1:15" x14ac:dyDescent="0.2">
      <c r="A1374" t="str">
        <f ca="1">IFERROR(__xludf.DUMMYFUNCTION("""COMPUTED_VALUE"""),"km")</f>
        <v>km</v>
      </c>
      <c r="B1374" t="str">
        <f ca="1">IFERROR(__xludf.DUMMYFUNCTION("""COMPUTED_VALUE"""),"Model S 85")</f>
        <v>Model S 85</v>
      </c>
      <c r="C1374">
        <f ca="1">IFERROR(__xludf.DUMMYFUNCTION("""COMPUTED_VALUE"""),395)</f>
        <v>395</v>
      </c>
      <c r="D1374">
        <f ca="1">IFERROR(__xludf.DUMMYFUNCTION("""COMPUTED_VALUE"""),19000)</f>
        <v>19000</v>
      </c>
      <c r="E1374">
        <f ca="1">IFERROR(__xludf.DUMMYFUNCTION("""COMPUTED_VALUE"""),388)</f>
        <v>388</v>
      </c>
      <c r="F1374">
        <v>395</v>
      </c>
      <c r="G1374">
        <v>0.98227848101265824</v>
      </c>
      <c r="H1374">
        <v>11806</v>
      </c>
      <c r="I1374">
        <v>19000</v>
      </c>
      <c r="J1374">
        <v>11806</v>
      </c>
      <c r="K1374">
        <v>0.98730462442563383</v>
      </c>
      <c r="L1374">
        <f t="shared" ca="1" si="135"/>
        <v>241.091948</v>
      </c>
      <c r="M1374">
        <f t="shared" si="136"/>
        <v>245.44154499999999</v>
      </c>
      <c r="N1374">
        <v>11806</v>
      </c>
      <c r="O1374">
        <f t="shared" ca="1" si="133"/>
        <v>0.98227848101265824</v>
      </c>
    </row>
    <row r="1375" spans="1:15" x14ac:dyDescent="0.2">
      <c r="A1375" t="str">
        <f ca="1">IFERROR(__xludf.DUMMYFUNCTION("""COMPUTED_VALUE"""),"km")</f>
        <v>km</v>
      </c>
      <c r="B1375" t="str">
        <f ca="1">IFERROR(__xludf.DUMMYFUNCTION("""COMPUTED_VALUE"""),"Model S 85")</f>
        <v>Model S 85</v>
      </c>
      <c r="D1375">
        <f ca="1">IFERROR(__xludf.DUMMYFUNCTION("""COMPUTED_VALUE"""),19015)</f>
        <v>19015</v>
      </c>
      <c r="E1375">
        <f ca="1">IFERROR(__xludf.DUMMYFUNCTION("""COMPUTED_VALUE"""),388)</f>
        <v>388</v>
      </c>
      <c r="F1375">
        <v>395</v>
      </c>
      <c r="G1375">
        <v>0.98227848101265824</v>
      </c>
      <c r="H1375">
        <v>11815</v>
      </c>
      <c r="I1375">
        <v>19015</v>
      </c>
      <c r="J1375">
        <v>11815</v>
      </c>
      <c r="K1375">
        <v>0.98729486067098771</v>
      </c>
      <c r="L1375">
        <f t="shared" ca="1" si="135"/>
        <v>241.091948</v>
      </c>
      <c r="M1375">
        <f t="shared" si="136"/>
        <v>245.44154499999999</v>
      </c>
      <c r="N1375">
        <v>11815</v>
      </c>
      <c r="O1375">
        <f t="shared" ca="1" si="133"/>
        <v>0.98227848101265824</v>
      </c>
    </row>
    <row r="1376" spans="1:15" x14ac:dyDescent="0.2">
      <c r="A1376" t="str">
        <f ca="1">IFERROR(__xludf.DUMMYFUNCTION("""COMPUTED_VALUE"""),"km")</f>
        <v>km</v>
      </c>
      <c r="B1376" t="str">
        <f ca="1">IFERROR(__xludf.DUMMYFUNCTION("""COMPUTED_VALUE"""),"Model S 85")</f>
        <v>Model S 85</v>
      </c>
      <c r="D1376">
        <f ca="1">IFERROR(__xludf.DUMMYFUNCTION("""COMPUTED_VALUE"""),60000)</f>
        <v>60000</v>
      </c>
      <c r="E1376">
        <f ca="1">IFERROR(__xludf.DUMMYFUNCTION("""COMPUTED_VALUE"""),388)</f>
        <v>388</v>
      </c>
      <c r="F1376">
        <v>395</v>
      </c>
      <c r="G1376">
        <v>0.98227848101265824</v>
      </c>
      <c r="H1376">
        <v>37282</v>
      </c>
      <c r="I1376">
        <v>60000</v>
      </c>
      <c r="J1376">
        <v>37282</v>
      </c>
      <c r="K1376">
        <v>0.9621774876664213</v>
      </c>
      <c r="L1376">
        <f t="shared" ca="1" si="135"/>
        <v>241.091948</v>
      </c>
      <c r="M1376">
        <f t="shared" si="136"/>
        <v>245.44154499999999</v>
      </c>
      <c r="N1376">
        <v>37282</v>
      </c>
      <c r="O1376">
        <f t="shared" ca="1" si="133"/>
        <v>0.98227848101265824</v>
      </c>
    </row>
    <row r="1377" spans="1:15" x14ac:dyDescent="0.2">
      <c r="A1377" t="str">
        <f ca="1">IFERROR(__xludf.DUMMYFUNCTION("""COMPUTED_VALUE"""),"km")</f>
        <v>km</v>
      </c>
      <c r="B1377" t="str">
        <f ca="1">IFERROR(__xludf.DUMMYFUNCTION("""COMPUTED_VALUE"""),"Model S 85")</f>
        <v>Model S 85</v>
      </c>
      <c r="D1377">
        <f ca="1">IFERROR(__xludf.DUMMYFUNCTION("""COMPUTED_VALUE"""),17500)</f>
        <v>17500</v>
      </c>
      <c r="E1377">
        <f ca="1">IFERROR(__xludf.DUMMYFUNCTION("""COMPUTED_VALUE"""),388)</f>
        <v>388</v>
      </c>
      <c r="F1377">
        <v>395</v>
      </c>
      <c r="G1377">
        <v>0.98227848101265824</v>
      </c>
      <c r="H1377">
        <v>10874</v>
      </c>
      <c r="I1377">
        <v>17500</v>
      </c>
      <c r="J1377">
        <v>10874</v>
      </c>
      <c r="K1377">
        <v>0.98828307641090296</v>
      </c>
      <c r="L1377">
        <f t="shared" ca="1" si="135"/>
        <v>241.091948</v>
      </c>
      <c r="M1377">
        <f t="shared" si="136"/>
        <v>245.44154499999999</v>
      </c>
      <c r="N1377">
        <v>10874</v>
      </c>
      <c r="O1377">
        <f t="shared" ca="1" si="133"/>
        <v>0.98227848101265824</v>
      </c>
    </row>
    <row r="1378" spans="1:15" x14ac:dyDescent="0.2">
      <c r="A1378" t="str">
        <f ca="1">IFERROR(__xludf.DUMMYFUNCTION("""COMPUTED_VALUE"""),"km")</f>
        <v>km</v>
      </c>
      <c r="B1378" t="str">
        <f ca="1">IFERROR(__xludf.DUMMYFUNCTION("""COMPUTED_VALUE"""),"Model S 85")</f>
        <v>Model S 85</v>
      </c>
      <c r="D1378">
        <f ca="1">IFERROR(__xludf.DUMMYFUNCTION("""COMPUTED_VALUE"""),12440)</f>
        <v>12440</v>
      </c>
      <c r="E1378">
        <f ca="1">IFERROR(__xludf.DUMMYFUNCTION("""COMPUTED_VALUE"""),388)</f>
        <v>388</v>
      </c>
      <c r="F1378">
        <v>395</v>
      </c>
      <c r="G1378">
        <v>0.98227848101265824</v>
      </c>
      <c r="H1378">
        <v>7730</v>
      </c>
      <c r="I1378">
        <v>12440</v>
      </c>
      <c r="J1378">
        <v>7730</v>
      </c>
      <c r="K1378">
        <v>0.99161397676513963</v>
      </c>
      <c r="L1378">
        <f t="shared" ca="1" si="135"/>
        <v>241.091948</v>
      </c>
      <c r="M1378">
        <f t="shared" si="136"/>
        <v>245.44154499999999</v>
      </c>
      <c r="N1378">
        <v>7730</v>
      </c>
      <c r="O1378">
        <f t="shared" ca="1" si="133"/>
        <v>0.98227848101265824</v>
      </c>
    </row>
    <row r="1379" spans="1:15" x14ac:dyDescent="0.2">
      <c r="A1379" t="str">
        <f ca="1">IFERROR(__xludf.DUMMYFUNCTION("""COMPUTED_VALUE"""),"km")</f>
        <v>km</v>
      </c>
      <c r="B1379" t="str">
        <f ca="1">IFERROR(__xludf.DUMMYFUNCTION("""COMPUTED_VALUE"""),"Model S 85")</f>
        <v>Model S 85</v>
      </c>
      <c r="C1379">
        <f ca="1">IFERROR(__xludf.DUMMYFUNCTION("""COMPUTED_VALUE"""),388)</f>
        <v>388</v>
      </c>
      <c r="D1379">
        <f ca="1">IFERROR(__xludf.DUMMYFUNCTION("""COMPUTED_VALUE"""),36302)</f>
        <v>36302</v>
      </c>
      <c r="E1379">
        <f ca="1">IFERROR(__xludf.DUMMYFUNCTION("""COMPUTED_VALUE"""),388)</f>
        <v>388</v>
      </c>
      <c r="F1379">
        <v>395</v>
      </c>
      <c r="G1379">
        <v>0.98227848101265824</v>
      </c>
      <c r="H1379">
        <v>22557</v>
      </c>
      <c r="I1379">
        <v>36302</v>
      </c>
      <c r="J1379">
        <v>22557</v>
      </c>
      <c r="K1379">
        <v>0.97631771892358854</v>
      </c>
      <c r="L1379">
        <f t="shared" ca="1" si="135"/>
        <v>241.091948</v>
      </c>
      <c r="M1379">
        <f t="shared" si="136"/>
        <v>245.44154499999999</v>
      </c>
      <c r="N1379">
        <v>22557</v>
      </c>
      <c r="O1379">
        <f t="shared" ca="1" si="133"/>
        <v>0.98227848101265824</v>
      </c>
    </row>
    <row r="1380" spans="1:15" x14ac:dyDescent="0.2">
      <c r="A1380" t="str">
        <f ca="1">IFERROR(__xludf.DUMMYFUNCTION("""COMPUTED_VALUE"""),"km")</f>
        <v>km</v>
      </c>
      <c r="B1380" t="str">
        <f ca="1">IFERROR(__xludf.DUMMYFUNCTION("""COMPUTED_VALUE"""),"Model S 85")</f>
        <v>Model S 85</v>
      </c>
      <c r="D1380">
        <f ca="1">IFERROR(__xludf.DUMMYFUNCTION("""COMPUTED_VALUE"""),32302)</f>
        <v>32302</v>
      </c>
      <c r="E1380">
        <f ca="1">IFERROR(__xludf.DUMMYFUNCTION("""COMPUTED_VALUE"""),388)</f>
        <v>388</v>
      </c>
      <c r="F1380">
        <v>395</v>
      </c>
      <c r="G1380">
        <v>0.98227848101265824</v>
      </c>
      <c r="H1380">
        <v>20072</v>
      </c>
      <c r="I1380">
        <v>32302</v>
      </c>
      <c r="J1380">
        <v>20072</v>
      </c>
      <c r="K1380">
        <v>0.97880853642637466</v>
      </c>
      <c r="L1380">
        <f t="shared" ca="1" si="135"/>
        <v>241.091948</v>
      </c>
      <c r="M1380">
        <f t="shared" si="136"/>
        <v>245.44154499999999</v>
      </c>
      <c r="N1380">
        <v>20072</v>
      </c>
      <c r="O1380">
        <f t="shared" ca="1" si="133"/>
        <v>0.98227848101265824</v>
      </c>
    </row>
    <row r="1381" spans="1:15" x14ac:dyDescent="0.2">
      <c r="A1381" t="str">
        <f ca="1">IFERROR(__xludf.DUMMYFUNCTION("""COMPUTED_VALUE"""),"km")</f>
        <v>km</v>
      </c>
      <c r="B1381" t="str">
        <f ca="1">IFERROR(__xludf.DUMMYFUNCTION("""COMPUTED_VALUE"""),"Model S P85")</f>
        <v>Model S P85</v>
      </c>
      <c r="D1381">
        <f ca="1">IFERROR(__xludf.DUMMYFUNCTION("""COMPUTED_VALUE"""),8000)</f>
        <v>8000</v>
      </c>
      <c r="E1381">
        <f ca="1">IFERROR(__xludf.DUMMYFUNCTION("""COMPUTED_VALUE"""),388)</f>
        <v>388</v>
      </c>
      <c r="F1381">
        <v>395</v>
      </c>
      <c r="G1381">
        <v>0.98227848101265824</v>
      </c>
      <c r="H1381">
        <v>4971</v>
      </c>
      <c r="I1381">
        <v>8000</v>
      </c>
      <c r="J1381">
        <v>4971</v>
      </c>
      <c r="K1381">
        <v>0.99457503008907677</v>
      </c>
      <c r="L1381">
        <f t="shared" ca="1" si="135"/>
        <v>241.091948</v>
      </c>
      <c r="M1381">
        <f t="shared" si="136"/>
        <v>245.44154499999999</v>
      </c>
      <c r="N1381">
        <v>4971</v>
      </c>
      <c r="O1381">
        <f t="shared" ca="1" si="133"/>
        <v>0.98227848101265824</v>
      </c>
    </row>
    <row r="1382" spans="1:15" x14ac:dyDescent="0.2">
      <c r="A1382" t="str">
        <f ca="1">IFERROR(__xludf.DUMMYFUNCTION("""COMPUTED_VALUE"""),"km")</f>
        <v>km</v>
      </c>
      <c r="B1382" t="str">
        <f ca="1">IFERROR(__xludf.DUMMYFUNCTION("""COMPUTED_VALUE"""),"Unspecified 85 kWh")</f>
        <v>Unspecified 85 kWh</v>
      </c>
      <c r="D1382">
        <f ca="1">IFERROR(__xludf.DUMMYFUNCTION("""COMPUTED_VALUE"""),12000)</f>
        <v>12000</v>
      </c>
      <c r="E1382">
        <f ca="1">IFERROR(__xludf.DUMMYFUNCTION("""COMPUTED_VALUE"""),388)</f>
        <v>388</v>
      </c>
      <c r="F1382">
        <v>395</v>
      </c>
      <c r="G1382">
        <v>0.98227848101265824</v>
      </c>
      <c r="H1382">
        <v>7456</v>
      </c>
      <c r="I1382">
        <v>12000</v>
      </c>
      <c r="J1382">
        <v>7456</v>
      </c>
      <c r="K1382">
        <v>0.99190582024539564</v>
      </c>
      <c r="L1382">
        <f t="shared" ca="1" si="135"/>
        <v>241.091948</v>
      </c>
      <c r="M1382">
        <f t="shared" si="136"/>
        <v>245.44154499999999</v>
      </c>
      <c r="N1382">
        <v>7456</v>
      </c>
      <c r="O1382">
        <f t="shared" ca="1" si="133"/>
        <v>0.98227848101265824</v>
      </c>
    </row>
    <row r="1383" spans="1:15" x14ac:dyDescent="0.2">
      <c r="A1383" t="str">
        <f ca="1">IFERROR(__xludf.DUMMYFUNCTION("""COMPUTED_VALUE"""),"km")</f>
        <v>km</v>
      </c>
      <c r="B1383" t="str">
        <f ca="1">IFERROR(__xludf.DUMMYFUNCTION("""COMPUTED_VALUE"""),"Unspecified 85 kWh")</f>
        <v>Unspecified 85 kWh</v>
      </c>
      <c r="D1383">
        <f ca="1">IFERROR(__xludf.DUMMYFUNCTION("""COMPUTED_VALUE"""),20509)</f>
        <v>20509</v>
      </c>
      <c r="E1383">
        <f ca="1">IFERROR(__xludf.DUMMYFUNCTION("""COMPUTED_VALUE"""),388)</f>
        <v>388</v>
      </c>
      <c r="F1383">
        <v>395</v>
      </c>
      <c r="G1383">
        <v>0.98227848101265824</v>
      </c>
      <c r="H1383">
        <v>12744</v>
      </c>
      <c r="I1383">
        <v>20509</v>
      </c>
      <c r="J1383">
        <v>12744</v>
      </c>
      <c r="K1383">
        <v>0.98632445307899386</v>
      </c>
      <c r="L1383">
        <f t="shared" ca="1" si="135"/>
        <v>241.091948</v>
      </c>
      <c r="M1383">
        <f t="shared" si="136"/>
        <v>245.44154499999999</v>
      </c>
      <c r="N1383">
        <v>12744</v>
      </c>
      <c r="O1383">
        <f t="shared" ca="1" si="133"/>
        <v>0.98227848101265824</v>
      </c>
    </row>
    <row r="1384" spans="1:15" x14ac:dyDescent="0.2">
      <c r="A1384" t="str">
        <f ca="1">IFERROR(__xludf.DUMMYFUNCTION("""COMPUTED_VALUE"""),"km")</f>
        <v>km</v>
      </c>
      <c r="B1384" t="str">
        <f ca="1">IFERROR(__xludf.DUMMYFUNCTION("""COMPUTED_VALUE"""),"Unspecified 85 kWh")</f>
        <v>Unspecified 85 kWh</v>
      </c>
      <c r="D1384">
        <f ca="1">IFERROR(__xludf.DUMMYFUNCTION("""COMPUTED_VALUE"""),26000)</f>
        <v>26000</v>
      </c>
      <c r="E1384">
        <f ca="1">IFERROR(__xludf.DUMMYFUNCTION("""COMPUTED_VALUE"""),388)</f>
        <v>388</v>
      </c>
      <c r="F1384">
        <v>395</v>
      </c>
      <c r="G1384">
        <v>0.98227848101265824</v>
      </c>
      <c r="H1384">
        <v>16156</v>
      </c>
      <c r="I1384">
        <v>26000</v>
      </c>
      <c r="J1384">
        <v>16156</v>
      </c>
      <c r="K1384">
        <v>0.98279302793461221</v>
      </c>
      <c r="L1384">
        <f t="shared" ca="1" si="135"/>
        <v>241.091948</v>
      </c>
      <c r="M1384">
        <f t="shared" si="136"/>
        <v>245.44154499999999</v>
      </c>
      <c r="N1384">
        <v>16156</v>
      </c>
      <c r="O1384">
        <f t="shared" ca="1" si="133"/>
        <v>0.98227848101265824</v>
      </c>
    </row>
    <row r="1385" spans="1:15" x14ac:dyDescent="0.2">
      <c r="A1385" t="str">
        <f ca="1">IFERROR(__xludf.DUMMYFUNCTION("""COMPUTED_VALUE"""),"km")</f>
        <v>km</v>
      </c>
      <c r="B1385" t="str">
        <f ca="1">IFERROR(__xludf.DUMMYFUNCTION("""COMPUTED_VALUE"""),"Model S 85")</f>
        <v>Model S 85</v>
      </c>
      <c r="D1385">
        <f ca="1">IFERROR(__xludf.DUMMYFUNCTION("""COMPUTED_VALUE"""),8598)</f>
        <v>8598</v>
      </c>
      <c r="E1385">
        <f ca="1">IFERROR(__xludf.DUMMYFUNCTION("""COMPUTED_VALUE"""),388)</f>
        <v>388</v>
      </c>
      <c r="F1385">
        <v>395</v>
      </c>
      <c r="G1385">
        <v>0.98227848101265824</v>
      </c>
      <c r="H1385">
        <v>5343</v>
      </c>
      <c r="I1385">
        <v>8598</v>
      </c>
      <c r="J1385">
        <v>5343</v>
      </c>
      <c r="K1385">
        <v>0.99417414310626728</v>
      </c>
      <c r="L1385">
        <f t="shared" ca="1" si="135"/>
        <v>241.091948</v>
      </c>
      <c r="M1385">
        <f t="shared" si="136"/>
        <v>245.44154499999999</v>
      </c>
      <c r="N1385">
        <v>5343</v>
      </c>
      <c r="O1385">
        <f t="shared" ca="1" si="133"/>
        <v>0.98227848101265824</v>
      </c>
    </row>
    <row r="1386" spans="1:15" x14ac:dyDescent="0.2">
      <c r="A1386" t="str">
        <f ca="1">IFERROR(__xludf.DUMMYFUNCTION("""COMPUTED_VALUE"""),"km")</f>
        <v>km</v>
      </c>
      <c r="B1386" t="str">
        <f ca="1">IFERROR(__xludf.DUMMYFUNCTION("""COMPUTED_VALUE"""),"Model S P85+")</f>
        <v>Model S P85+</v>
      </c>
      <c r="D1386">
        <f ca="1">IFERROR(__xludf.DUMMYFUNCTION("""COMPUTED_VALUE"""),21530)</f>
        <v>21530</v>
      </c>
      <c r="E1386">
        <f ca="1">IFERROR(__xludf.DUMMYFUNCTION("""COMPUTED_VALUE"""),388)</f>
        <v>388</v>
      </c>
      <c r="F1386">
        <v>395</v>
      </c>
      <c r="G1386">
        <v>0.98227848101265824</v>
      </c>
      <c r="H1386">
        <v>13378</v>
      </c>
      <c r="I1386">
        <v>21530</v>
      </c>
      <c r="J1386">
        <v>13378</v>
      </c>
      <c r="K1386">
        <v>0.9856636275624524</v>
      </c>
      <c r="L1386">
        <f t="shared" ca="1" si="135"/>
        <v>241.091948</v>
      </c>
      <c r="M1386">
        <f t="shared" si="136"/>
        <v>245.44154499999999</v>
      </c>
      <c r="N1386">
        <v>13378</v>
      </c>
      <c r="O1386">
        <f t="shared" ca="1" si="133"/>
        <v>0.98227848101265824</v>
      </c>
    </row>
    <row r="1387" spans="1:15" x14ac:dyDescent="0.2">
      <c r="A1387" t="str">
        <f ca="1">IFERROR(__xludf.DUMMYFUNCTION("""COMPUTED_VALUE"""),"km")</f>
        <v>km</v>
      </c>
      <c r="B1387" t="str">
        <f ca="1">IFERROR(__xludf.DUMMYFUNCTION("""COMPUTED_VALUE"""),"Model S 75")</f>
        <v>Model S 75</v>
      </c>
      <c r="D1387">
        <f ca="1">IFERROR(__xludf.DUMMYFUNCTION("""COMPUTED_VALUE"""),18700)</f>
        <v>18700</v>
      </c>
      <c r="E1387">
        <f ca="1">IFERROR(__xludf.DUMMYFUNCTION("""COMPUTED_VALUE"""),389)</f>
        <v>389</v>
      </c>
      <c r="F1387">
        <v>396</v>
      </c>
      <c r="G1387">
        <v>0.98232323232323238</v>
      </c>
      <c r="H1387">
        <v>11620</v>
      </c>
      <c r="I1387">
        <v>18700</v>
      </c>
      <c r="J1387">
        <v>11620</v>
      </c>
      <c r="K1387">
        <v>0.98749998590813903</v>
      </c>
      <c r="L1387">
        <f t="shared" ca="1" si="135"/>
        <v>241.71331900000001</v>
      </c>
      <c r="M1387">
        <f t="shared" si="136"/>
        <v>246.062916</v>
      </c>
      <c r="N1387">
        <v>11620</v>
      </c>
      <c r="O1387">
        <f t="shared" ca="1" si="133"/>
        <v>0.98232323232323238</v>
      </c>
    </row>
    <row r="1388" spans="1:15" x14ac:dyDescent="0.2">
      <c r="A1388" t="str">
        <f ca="1">IFERROR(__xludf.DUMMYFUNCTION("""COMPUTED_VALUE"""),"km")</f>
        <v>km</v>
      </c>
      <c r="B1388" t="str">
        <f ca="1">IFERROR(__xludf.DUMMYFUNCTION("""COMPUTED_VALUE"""),"Model S 60")</f>
        <v>Model S 60</v>
      </c>
      <c r="D1388">
        <f ca="1">IFERROR(__xludf.DUMMYFUNCTION("""COMPUTED_VALUE"""),39500)</f>
        <v>39500</v>
      </c>
      <c r="E1388">
        <f ca="1">IFERROR(__xludf.DUMMYFUNCTION("""COMPUTED_VALUE"""),279)</f>
        <v>279</v>
      </c>
      <c r="F1388">
        <v>284</v>
      </c>
      <c r="G1388">
        <v>0.98239436619718312</v>
      </c>
      <c r="H1388">
        <v>24544</v>
      </c>
      <c r="I1388">
        <v>39500</v>
      </c>
      <c r="J1388">
        <v>24544</v>
      </c>
      <c r="K1388">
        <v>0.97434776720928185</v>
      </c>
      <c r="L1388">
        <f t="shared" ca="1" si="135"/>
        <v>173.36250899999999</v>
      </c>
      <c r="M1388">
        <f t="shared" si="136"/>
        <v>176.46936400000001</v>
      </c>
      <c r="N1388">
        <v>24544</v>
      </c>
      <c r="O1388">
        <f t="shared" ca="1" si="133"/>
        <v>0.98239436619718301</v>
      </c>
    </row>
    <row r="1389" spans="1:15" x14ac:dyDescent="0.2">
      <c r="A1389" t="str">
        <f ca="1">IFERROR(__xludf.DUMMYFUNCTION("""COMPUTED_VALUE"""),"km")</f>
        <v>km</v>
      </c>
      <c r="B1389" t="str">
        <f ca="1">IFERROR(__xludf.DUMMYFUNCTION("""COMPUTED_VALUE"""),"Model X 90D")</f>
        <v>Model X 90D</v>
      </c>
      <c r="C1389">
        <f ca="1">IFERROR(__xludf.DUMMYFUNCTION("""COMPUTED_VALUE"""),395)</f>
        <v>395</v>
      </c>
      <c r="D1389">
        <f ca="1">IFERROR(__xludf.DUMMYFUNCTION("""COMPUTED_VALUE"""),3442)</f>
        <v>3442</v>
      </c>
      <c r="E1389">
        <f ca="1">IFERROR(__xludf.DUMMYFUNCTION("""COMPUTED_VALUE"""),393)</f>
        <v>393</v>
      </c>
      <c r="F1389">
        <v>400</v>
      </c>
      <c r="G1389">
        <v>0.98250000000000004</v>
      </c>
      <c r="H1389">
        <v>2139</v>
      </c>
      <c r="I1389">
        <v>3442</v>
      </c>
      <c r="J1389">
        <v>2139</v>
      </c>
      <c r="K1389">
        <v>0.99765180814095944</v>
      </c>
      <c r="L1389">
        <f t="shared" ca="1" si="135"/>
        <v>244.198803</v>
      </c>
      <c r="M1389">
        <f t="shared" si="136"/>
        <v>248.54840000000002</v>
      </c>
      <c r="N1389">
        <v>2139</v>
      </c>
      <c r="O1389">
        <f t="shared" ca="1" si="133"/>
        <v>0.98249999999999993</v>
      </c>
    </row>
    <row r="1390" spans="1:15" x14ac:dyDescent="0.2">
      <c r="A1390" t="str">
        <f ca="1">IFERROR(__xludf.DUMMYFUNCTION("""COMPUTED_VALUE"""),"km")</f>
        <v>km</v>
      </c>
      <c r="B1390" t="str">
        <f ca="1">IFERROR(__xludf.DUMMYFUNCTION("""COMPUTED_VALUE"""),"Model S P85D")</f>
        <v>Model S P85D</v>
      </c>
      <c r="C1390">
        <f ca="1">IFERROR(__xludf.DUMMYFUNCTION("""COMPUTED_VALUE"""),406)</f>
        <v>406</v>
      </c>
      <c r="D1390">
        <f ca="1">IFERROR(__xludf.DUMMYFUNCTION("""COMPUTED_VALUE"""),11053)</f>
        <v>11053</v>
      </c>
      <c r="E1390">
        <f ca="1">IFERROR(__xludf.DUMMYFUNCTION("""COMPUTED_VALUE"""),396)</f>
        <v>396</v>
      </c>
      <c r="F1390">
        <v>403</v>
      </c>
      <c r="G1390">
        <v>0.98263027295285355</v>
      </c>
      <c r="H1390">
        <v>6868</v>
      </c>
      <c r="I1390">
        <v>11053</v>
      </c>
      <c r="J1390">
        <v>6868</v>
      </c>
      <c r="K1390">
        <v>0.99253513816296346</v>
      </c>
      <c r="L1390">
        <f t="shared" ca="1" si="135"/>
        <v>246.062916</v>
      </c>
      <c r="M1390">
        <f t="shared" si="136"/>
        <v>250.41251299999999</v>
      </c>
      <c r="N1390">
        <v>6868</v>
      </c>
      <c r="O1390">
        <f t="shared" ca="1" si="133"/>
        <v>0.98263027295285366</v>
      </c>
    </row>
    <row r="1391" spans="1:15" x14ac:dyDescent="0.2">
      <c r="A1391" t="str">
        <f ca="1">IFERROR(__xludf.DUMMYFUNCTION("""COMPUTED_VALUE"""),"km")</f>
        <v>km</v>
      </c>
      <c r="B1391" t="str">
        <f ca="1">IFERROR(__xludf.DUMMYFUNCTION("""COMPUTED_VALUE"""),"Model S 70D")</f>
        <v>Model S 70D</v>
      </c>
      <c r="C1391">
        <f ca="1">IFERROR(__xludf.DUMMYFUNCTION("""COMPUTED_VALUE"""),360)</f>
        <v>360</v>
      </c>
      <c r="D1391">
        <f ca="1">IFERROR(__xludf.DUMMYFUNCTION("""COMPUTED_VALUE"""),4000)</f>
        <v>4000</v>
      </c>
      <c r="E1391">
        <f ca="1">IFERROR(__xludf.DUMMYFUNCTION("""COMPUTED_VALUE"""),354)</f>
        <v>354</v>
      </c>
      <c r="F1391">
        <v>360</v>
      </c>
      <c r="G1391">
        <v>0.98333333333333328</v>
      </c>
      <c r="H1391">
        <v>2485</v>
      </c>
      <c r="I1391">
        <v>4000</v>
      </c>
      <c r="J1391">
        <v>2485</v>
      </c>
      <c r="K1391">
        <v>0.997273133646705</v>
      </c>
      <c r="L1391">
        <f t="shared" ca="1" si="135"/>
        <v>219.96533400000001</v>
      </c>
      <c r="M1391">
        <f t="shared" si="136"/>
        <v>223.69355999999999</v>
      </c>
      <c r="N1391">
        <v>2485</v>
      </c>
      <c r="O1391">
        <f t="shared" ca="1" si="133"/>
        <v>0.98333333333333339</v>
      </c>
    </row>
    <row r="1392" spans="1:15" x14ac:dyDescent="0.2">
      <c r="A1392" t="str">
        <f ca="1">IFERROR(__xludf.DUMMYFUNCTION("""COMPUTED_VALUE"""),"km")</f>
        <v>km</v>
      </c>
      <c r="B1392" t="str">
        <f ca="1">IFERROR(__xludf.DUMMYFUNCTION("""COMPUTED_VALUE"""),"Model S P100D")</f>
        <v>Model S P100D</v>
      </c>
      <c r="C1392">
        <f ca="1">IFERROR(__xludf.DUMMYFUNCTION("""COMPUTED_VALUE"""),600)</f>
        <v>600</v>
      </c>
      <c r="D1392">
        <f ca="1">IFERROR(__xludf.DUMMYFUNCTION("""COMPUTED_VALUE"""),50000)</f>
        <v>50000</v>
      </c>
      <c r="E1392">
        <f ca="1">IFERROR(__xludf.DUMMYFUNCTION("""COMPUTED_VALUE"""),475)</f>
        <v>475</v>
      </c>
      <c r="F1392">
        <v>483</v>
      </c>
      <c r="G1392">
        <v>0.9834368530020704</v>
      </c>
      <c r="H1392">
        <v>31069</v>
      </c>
      <c r="I1392">
        <v>50000</v>
      </c>
      <c r="J1392">
        <v>31069</v>
      </c>
      <c r="K1392">
        <v>0.96801478944655506</v>
      </c>
      <c r="L1392">
        <f t="shared" ca="1" si="135"/>
        <v>295.15122500000001</v>
      </c>
      <c r="M1392">
        <f t="shared" si="136"/>
        <v>300.12219299999998</v>
      </c>
      <c r="N1392">
        <v>31069</v>
      </c>
      <c r="O1392">
        <f t="shared" ca="1" si="133"/>
        <v>0.98343685300207051</v>
      </c>
    </row>
    <row r="1393" spans="1:15" x14ac:dyDescent="0.2">
      <c r="A1393" t="str">
        <f ca="1">IFERROR(__xludf.DUMMYFUNCTION("""COMPUTED_VALUE"""),"km")</f>
        <v>km</v>
      </c>
      <c r="B1393" t="str">
        <f ca="1">IFERROR(__xludf.DUMMYFUNCTION("""COMPUTED_VALUE"""),"Model S 85D")</f>
        <v>Model S 85D</v>
      </c>
      <c r="D1393">
        <f ca="1">IFERROR(__xludf.DUMMYFUNCTION("""COMPUTED_VALUE"""),56469)</f>
        <v>56469</v>
      </c>
      <c r="E1393">
        <f ca="1">IFERROR(__xludf.DUMMYFUNCTION("""COMPUTED_VALUE"""),418)</f>
        <v>418</v>
      </c>
      <c r="F1393">
        <v>425</v>
      </c>
      <c r="G1393">
        <v>0.98352941176470587</v>
      </c>
      <c r="H1393">
        <v>35088</v>
      </c>
      <c r="I1393">
        <v>56469</v>
      </c>
      <c r="J1393">
        <v>35088</v>
      </c>
      <c r="K1393">
        <v>0.96421687163527792</v>
      </c>
      <c r="L1393">
        <f t="shared" ca="1" si="135"/>
        <v>259.73307799999998</v>
      </c>
      <c r="M1393">
        <f t="shared" si="136"/>
        <v>264.08267499999999</v>
      </c>
      <c r="N1393">
        <v>35088</v>
      </c>
      <c r="O1393">
        <f t="shared" ca="1" si="133"/>
        <v>0.98352941176470576</v>
      </c>
    </row>
    <row r="1394" spans="1:15" x14ac:dyDescent="0.2">
      <c r="A1394" t="str">
        <f ca="1">IFERROR(__xludf.DUMMYFUNCTION("""COMPUTED_VALUE"""),"km")</f>
        <v>km</v>
      </c>
      <c r="B1394" t="str">
        <f ca="1">IFERROR(__xludf.DUMMYFUNCTION("""COMPUTED_VALUE"""),"Model S 85")</f>
        <v>Model S 85</v>
      </c>
      <c r="D1394">
        <f ca="1">IFERROR(__xludf.DUMMYFUNCTION("""COMPUTED_VALUE"""),19996)</f>
        <v>19996</v>
      </c>
      <c r="E1394">
        <f ca="1">IFERROR(__xludf.DUMMYFUNCTION("""COMPUTED_VALUE"""),421)</f>
        <v>421</v>
      </c>
      <c r="F1394">
        <v>428</v>
      </c>
      <c r="G1394">
        <v>0.98364485981308414</v>
      </c>
      <c r="H1394">
        <v>12425</v>
      </c>
      <c r="I1394">
        <v>19996</v>
      </c>
      <c r="J1394">
        <v>12425</v>
      </c>
      <c r="K1394">
        <v>0.98665720477424157</v>
      </c>
      <c r="L1394">
        <f t="shared" ca="1" si="135"/>
        <v>261.59719100000001</v>
      </c>
      <c r="M1394">
        <f t="shared" si="136"/>
        <v>265.94678800000003</v>
      </c>
      <c r="N1394">
        <v>12425</v>
      </c>
      <c r="O1394">
        <f t="shared" ca="1" si="133"/>
        <v>0.98364485981308403</v>
      </c>
    </row>
    <row r="1395" spans="1:15" x14ac:dyDescent="0.2">
      <c r="A1395" t="str">
        <f ca="1">IFERROR(__xludf.DUMMYFUNCTION("""COMPUTED_VALUE"""),"mi")</f>
        <v>mi</v>
      </c>
      <c r="B1395" t="str">
        <f ca="1">IFERROR(__xludf.DUMMYFUNCTION("""COMPUTED_VALUE"""),"Model S 85")</f>
        <v>Model S 85</v>
      </c>
      <c r="C1395">
        <f ca="1">IFERROR(__xludf.DUMMYFUNCTION("""COMPUTED_VALUE"""),245)</f>
        <v>245</v>
      </c>
      <c r="D1395">
        <f ca="1">IFERROR(__xludf.DUMMYFUNCTION("""COMPUTED_VALUE"""),58633)</f>
        <v>58633</v>
      </c>
      <c r="E1395">
        <f ca="1">IFERROR(__xludf.DUMMYFUNCTION("""COMPUTED_VALUE"""),241)</f>
        <v>241</v>
      </c>
      <c r="F1395">
        <v>245</v>
      </c>
      <c r="G1395">
        <v>0.98367346938775513</v>
      </c>
      <c r="H1395">
        <v>58633</v>
      </c>
      <c r="I1395">
        <v>94361</v>
      </c>
      <c r="J1395">
        <v>58633</v>
      </c>
      <c r="K1395">
        <v>0.94359356514040038</v>
      </c>
      <c r="L1395">
        <f ca="1">IFERROR(__xludf.DUMMYFUNCTION("""COMPUTED_VALUE"""),241)</f>
        <v>241</v>
      </c>
      <c r="M1395">
        <v>245</v>
      </c>
      <c r="N1395">
        <v>58633</v>
      </c>
      <c r="O1395">
        <f t="shared" ca="1" si="133"/>
        <v>0.98367346938775513</v>
      </c>
    </row>
    <row r="1396" spans="1:15" x14ac:dyDescent="0.2">
      <c r="A1396" t="str">
        <f ca="1">IFERROR(__xludf.DUMMYFUNCTION("""COMPUTED_VALUE"""),"mi")</f>
        <v>mi</v>
      </c>
      <c r="B1396" t="str">
        <f ca="1">IFERROR(__xludf.DUMMYFUNCTION("""COMPUTED_VALUE"""),"Model S 75")</f>
        <v>Model S 75</v>
      </c>
      <c r="D1396">
        <f ca="1">IFERROR(__xludf.DUMMYFUNCTION("""COMPUTED_VALUE"""),14638)</f>
        <v>14638</v>
      </c>
      <c r="E1396">
        <f ca="1">IFERROR(__xludf.DUMMYFUNCTION("""COMPUTED_VALUE"""),242)</f>
        <v>242</v>
      </c>
      <c r="F1396">
        <v>246</v>
      </c>
      <c r="G1396">
        <v>0.98373983739837401</v>
      </c>
      <c r="H1396">
        <v>14638</v>
      </c>
      <c r="I1396">
        <v>23558</v>
      </c>
      <c r="J1396">
        <v>14638</v>
      </c>
      <c r="K1396">
        <v>0.98435670952081455</v>
      </c>
      <c r="L1396">
        <f ca="1">IFERROR(__xludf.DUMMYFUNCTION("""COMPUTED_VALUE"""),242)</f>
        <v>242</v>
      </c>
      <c r="M1396">
        <v>246</v>
      </c>
      <c r="N1396">
        <v>14638</v>
      </c>
      <c r="O1396">
        <f t="shared" ca="1" si="133"/>
        <v>0.98373983739837401</v>
      </c>
    </row>
    <row r="1397" spans="1:15" x14ac:dyDescent="0.2">
      <c r="A1397" t="str">
        <f ca="1">IFERROR(__xludf.DUMMYFUNCTION("""COMPUTED_VALUE"""),"mi")</f>
        <v>mi</v>
      </c>
      <c r="B1397" t="str">
        <f ca="1">IFERROR(__xludf.DUMMYFUNCTION("""COMPUTED_VALUE"""),"Model 3 LR AWD")</f>
        <v>Model 3 LR AWD</v>
      </c>
      <c r="C1397">
        <f ca="1">IFERROR(__xludf.DUMMYFUNCTION("""COMPUTED_VALUE"""),309)</f>
        <v>309</v>
      </c>
      <c r="D1397">
        <f ca="1">IFERROR(__xludf.DUMMYFUNCTION("""COMPUTED_VALUE"""),2000)</f>
        <v>2000</v>
      </c>
      <c r="E1397">
        <f ca="1">IFERROR(__xludf.DUMMYFUNCTION("""COMPUTED_VALUE"""),305)</f>
        <v>305</v>
      </c>
      <c r="F1397">
        <v>310</v>
      </c>
      <c r="G1397">
        <v>0.9838709677419355</v>
      </c>
      <c r="H1397">
        <v>2000</v>
      </c>
      <c r="I1397">
        <v>3219</v>
      </c>
      <c r="J1397">
        <v>2000</v>
      </c>
      <c r="K1397">
        <v>0.99780329867767537</v>
      </c>
      <c r="L1397">
        <f ca="1">IFERROR(__xludf.DUMMYFUNCTION("""COMPUTED_VALUE"""),305)</f>
        <v>305</v>
      </c>
      <c r="M1397">
        <v>310</v>
      </c>
      <c r="N1397">
        <v>2000</v>
      </c>
      <c r="O1397">
        <f t="shared" ca="1" si="133"/>
        <v>0.9838709677419355</v>
      </c>
    </row>
    <row r="1398" spans="1:15" x14ac:dyDescent="0.2">
      <c r="A1398" t="str">
        <f ca="1">IFERROR(__xludf.DUMMYFUNCTION("""COMPUTED_VALUE"""),"km")</f>
        <v>km</v>
      </c>
      <c r="B1398" t="str">
        <f ca="1">IFERROR(__xludf.DUMMYFUNCTION("""COMPUTED_VALUE"""),"Model S 85D")</f>
        <v>Model S 85D</v>
      </c>
      <c r="C1398">
        <f ca="1">IFERROR(__xludf.DUMMYFUNCTION("""COMPUTED_VALUE"""),435)</f>
        <v>435</v>
      </c>
      <c r="D1398">
        <f ca="1">IFERROR(__xludf.DUMMYFUNCTION("""COMPUTED_VALUE"""),90000)</f>
        <v>90000</v>
      </c>
      <c r="E1398">
        <f ca="1">IFERROR(__xludf.DUMMYFUNCTION("""COMPUTED_VALUE"""),428)</f>
        <v>428</v>
      </c>
      <c r="F1398">
        <v>435</v>
      </c>
      <c r="G1398">
        <v>0.98390804597701154</v>
      </c>
      <c r="H1398">
        <v>55923</v>
      </c>
      <c r="I1398">
        <v>90000</v>
      </c>
      <c r="J1398">
        <v>55923</v>
      </c>
      <c r="K1398">
        <v>0.94582377496638503</v>
      </c>
      <c r="L1398">
        <f t="shared" ref="L1398:M1402" ca="1" si="137">E1398*0.621371</f>
        <v>265.94678800000003</v>
      </c>
      <c r="M1398">
        <f t="shared" si="137"/>
        <v>270.29638499999999</v>
      </c>
      <c r="N1398">
        <v>55923</v>
      </c>
      <c r="O1398">
        <f t="shared" ca="1" si="133"/>
        <v>0.98390804597701165</v>
      </c>
    </row>
    <row r="1399" spans="1:15" x14ac:dyDescent="0.2">
      <c r="A1399" t="str">
        <f ca="1">IFERROR(__xludf.DUMMYFUNCTION("""COMPUTED_VALUE"""),"km")</f>
        <v>km</v>
      </c>
      <c r="B1399" t="str">
        <f ca="1">IFERROR(__xludf.DUMMYFUNCTION("""COMPUTED_VALUE"""),"Model S 85D")</f>
        <v>Model S 85D</v>
      </c>
      <c r="C1399">
        <f ca="1">IFERROR(__xludf.DUMMYFUNCTION("""COMPUTED_VALUE"""),435)</f>
        <v>435</v>
      </c>
      <c r="D1399">
        <f ca="1">IFERROR(__xludf.DUMMYFUNCTION("""COMPUTED_VALUE"""),10680)</f>
        <v>10680</v>
      </c>
      <c r="E1399">
        <f ca="1">IFERROR(__xludf.DUMMYFUNCTION("""COMPUTED_VALUE"""),428)</f>
        <v>428</v>
      </c>
      <c r="F1399">
        <v>435</v>
      </c>
      <c r="G1399">
        <v>0.98390804597701154</v>
      </c>
      <c r="H1399">
        <v>6636</v>
      </c>
      <c r="I1399">
        <v>10680</v>
      </c>
      <c r="J1399">
        <v>6636</v>
      </c>
      <c r="K1399">
        <v>0.99278345721263983</v>
      </c>
      <c r="L1399">
        <f t="shared" ca="1" si="137"/>
        <v>265.94678800000003</v>
      </c>
      <c r="M1399">
        <f t="shared" si="137"/>
        <v>270.29638499999999</v>
      </c>
      <c r="N1399">
        <v>6636</v>
      </c>
      <c r="O1399">
        <f t="shared" ca="1" si="133"/>
        <v>0.98390804597701165</v>
      </c>
    </row>
    <row r="1400" spans="1:15" x14ac:dyDescent="0.2">
      <c r="A1400" t="str">
        <f ca="1">IFERROR(__xludf.DUMMYFUNCTION("""COMPUTED_VALUE"""),"km")</f>
        <v>km</v>
      </c>
      <c r="B1400" t="str">
        <f ca="1">IFERROR(__xludf.DUMMYFUNCTION("""COMPUTED_VALUE"""),"Model S 85D")</f>
        <v>Model S 85D</v>
      </c>
      <c r="C1400">
        <f ca="1">IFERROR(__xludf.DUMMYFUNCTION("""COMPUTED_VALUE"""),435)</f>
        <v>435</v>
      </c>
      <c r="D1400">
        <f ca="1">IFERROR(__xludf.DUMMYFUNCTION("""COMPUTED_VALUE"""),6900)</f>
        <v>6900</v>
      </c>
      <c r="E1400">
        <f ca="1">IFERROR(__xludf.DUMMYFUNCTION("""COMPUTED_VALUE"""),428)</f>
        <v>428</v>
      </c>
      <c r="F1400">
        <v>435</v>
      </c>
      <c r="G1400">
        <v>0.98390804597701154</v>
      </c>
      <c r="H1400">
        <v>4287</v>
      </c>
      <c r="I1400">
        <v>6900</v>
      </c>
      <c r="J1400">
        <v>4287</v>
      </c>
      <c r="K1400">
        <v>0.99531413378281974</v>
      </c>
      <c r="L1400">
        <f t="shared" ca="1" si="137"/>
        <v>265.94678800000003</v>
      </c>
      <c r="M1400">
        <f t="shared" si="137"/>
        <v>270.29638499999999</v>
      </c>
      <c r="N1400">
        <v>4287</v>
      </c>
      <c r="O1400">
        <f t="shared" ca="1" si="133"/>
        <v>0.98390804597701165</v>
      </c>
    </row>
    <row r="1401" spans="1:15" x14ac:dyDescent="0.2">
      <c r="A1401" t="str">
        <f ca="1">IFERROR(__xludf.DUMMYFUNCTION("""COMPUTED_VALUE"""),"km")</f>
        <v>km</v>
      </c>
      <c r="B1401" t="str">
        <f ca="1">IFERROR(__xludf.DUMMYFUNCTION("""COMPUTED_VALUE"""),"Model 3 LR AWD")</f>
        <v>Model 3 LR AWD</v>
      </c>
      <c r="C1401">
        <f ca="1">IFERROR(__xludf.DUMMYFUNCTION("""COMPUTED_VALUE"""),499)</f>
        <v>499</v>
      </c>
      <c r="D1401">
        <f ca="1">IFERROR(__xludf.DUMMYFUNCTION("""COMPUTED_VALUE"""),8026)</f>
        <v>8026</v>
      </c>
      <c r="E1401">
        <f ca="1">IFERROR(__xludf.DUMMYFUNCTION("""COMPUTED_VALUE"""),491)</f>
        <v>491</v>
      </c>
      <c r="F1401">
        <v>499</v>
      </c>
      <c r="G1401">
        <v>0.98396793587174347</v>
      </c>
      <c r="H1401">
        <v>4987</v>
      </c>
      <c r="I1401">
        <v>8026</v>
      </c>
      <c r="J1401">
        <v>4987</v>
      </c>
      <c r="K1401">
        <v>0.99455758678875683</v>
      </c>
      <c r="L1401">
        <f t="shared" ca="1" si="137"/>
        <v>305.09316100000001</v>
      </c>
      <c r="M1401">
        <f t="shared" si="137"/>
        <v>310.06412899999998</v>
      </c>
      <c r="N1401">
        <v>4987</v>
      </c>
      <c r="O1401">
        <f t="shared" ca="1" si="133"/>
        <v>0.98396793587174358</v>
      </c>
    </row>
    <row r="1402" spans="1:15" x14ac:dyDescent="0.2">
      <c r="A1402" t="str">
        <f ca="1">IFERROR(__xludf.DUMMYFUNCTION("""COMPUTED_VALUE"""),"km")</f>
        <v>km</v>
      </c>
      <c r="B1402" t="str">
        <f ca="1">IFERROR(__xludf.DUMMYFUNCTION("""COMPUTED_VALUE"""),"Model S 75")</f>
        <v>Model S 75</v>
      </c>
      <c r="D1402">
        <f ca="1">IFERROR(__xludf.DUMMYFUNCTION("""COMPUTED_VALUE"""),44000)</f>
        <v>44000</v>
      </c>
      <c r="E1402">
        <f ca="1">IFERROR(__xludf.DUMMYFUNCTION("""COMPUTED_VALUE"""),369)</f>
        <v>369</v>
      </c>
      <c r="F1402">
        <v>375</v>
      </c>
      <c r="G1402">
        <v>0.98399999999999999</v>
      </c>
      <c r="H1402">
        <v>27340</v>
      </c>
      <c r="I1402">
        <v>44000</v>
      </c>
      <c r="J1402">
        <v>27340</v>
      </c>
      <c r="K1402">
        <v>0.97160822329568364</v>
      </c>
      <c r="L1402">
        <f t="shared" ca="1" si="137"/>
        <v>229.285899</v>
      </c>
      <c r="M1402">
        <f t="shared" si="137"/>
        <v>233.01412500000001</v>
      </c>
      <c r="N1402">
        <v>27340</v>
      </c>
      <c r="O1402">
        <f t="shared" ca="1" si="133"/>
        <v>0.98399999999999999</v>
      </c>
    </row>
    <row r="1403" spans="1:15" x14ac:dyDescent="0.2">
      <c r="A1403" t="str">
        <f ca="1">IFERROR(__xludf.DUMMYFUNCTION("""COMPUTED_VALUE"""),"mi")</f>
        <v>mi</v>
      </c>
      <c r="B1403" t="str">
        <f ca="1">IFERROR(__xludf.DUMMYFUNCTION("""COMPUTED_VALUE"""),"Model S P85D")</f>
        <v>Model S P85D</v>
      </c>
      <c r="D1403">
        <f ca="1">IFERROR(__xludf.DUMMYFUNCTION("""COMPUTED_VALUE"""),30538)</f>
        <v>30538</v>
      </c>
      <c r="E1403">
        <f ca="1">IFERROR(__xludf.DUMMYFUNCTION("""COMPUTED_VALUE"""),249)</f>
        <v>249</v>
      </c>
      <c r="F1403">
        <v>253</v>
      </c>
      <c r="G1403">
        <v>0.98418972332015808</v>
      </c>
      <c r="H1403">
        <v>30538</v>
      </c>
      <c r="I1403">
        <v>49146</v>
      </c>
      <c r="J1403">
        <v>30538</v>
      </c>
      <c r="K1403">
        <v>0.96852210376478887</v>
      </c>
      <c r="L1403">
        <f ca="1">IFERROR(__xludf.DUMMYFUNCTION("""COMPUTED_VALUE"""),249)</f>
        <v>249</v>
      </c>
      <c r="M1403">
        <v>253</v>
      </c>
      <c r="N1403">
        <v>30538</v>
      </c>
      <c r="O1403">
        <f t="shared" ca="1" si="133"/>
        <v>0.98418972332015808</v>
      </c>
    </row>
    <row r="1404" spans="1:15" x14ac:dyDescent="0.2">
      <c r="A1404" t="str">
        <f ca="1">IFERROR(__xludf.DUMMYFUNCTION("""COMPUTED_VALUE"""),"mi")</f>
        <v>mi</v>
      </c>
      <c r="B1404" t="str">
        <f ca="1">IFERROR(__xludf.DUMMYFUNCTION("""COMPUTED_VALUE"""),"Model S 90D")</f>
        <v>Model S 90D</v>
      </c>
      <c r="C1404">
        <f ca="1">IFERROR(__xludf.DUMMYFUNCTION("""COMPUTED_VALUE"""),295)</f>
        <v>295</v>
      </c>
      <c r="D1404">
        <f ca="1">IFERROR(__xludf.DUMMYFUNCTION("""COMPUTED_VALUE"""),20649.1)</f>
        <v>20649.099999999999</v>
      </c>
      <c r="E1404">
        <f ca="1">IFERROR(__xludf.DUMMYFUNCTION("""COMPUTED_VALUE"""),287.4)</f>
        <v>287.39999999999998</v>
      </c>
      <c r="F1404">
        <v>292</v>
      </c>
      <c r="G1404">
        <v>0.98424657534246562</v>
      </c>
      <c r="H1404">
        <v>20649.099999999999</v>
      </c>
      <c r="I1404">
        <v>33232</v>
      </c>
      <c r="J1404">
        <v>20649.099999999999</v>
      </c>
      <c r="K1404">
        <v>0.97822676634189931</v>
      </c>
      <c r="L1404">
        <f ca="1">IFERROR(__xludf.DUMMYFUNCTION("""COMPUTED_VALUE"""),287.4)</f>
        <v>287.39999999999998</v>
      </c>
      <c r="M1404">
        <v>292</v>
      </c>
      <c r="N1404">
        <v>20649.099999999999</v>
      </c>
      <c r="O1404">
        <f t="shared" ca="1" si="133"/>
        <v>0.98424657534246562</v>
      </c>
    </row>
    <row r="1405" spans="1:15" x14ac:dyDescent="0.2">
      <c r="A1405" t="str">
        <f ca="1">IFERROR(__xludf.DUMMYFUNCTION("""COMPUTED_VALUE"""),"km")</f>
        <v>km</v>
      </c>
      <c r="B1405" t="str">
        <f ca="1">IFERROR(__xludf.DUMMYFUNCTION("""COMPUTED_VALUE"""),"Model S 90D")</f>
        <v>Model S 90D</v>
      </c>
      <c r="C1405">
        <f ca="1">IFERROR(__xludf.DUMMYFUNCTION("""COMPUTED_VALUE"""),450)</f>
        <v>450</v>
      </c>
      <c r="D1405">
        <f ca="1">IFERROR(__xludf.DUMMYFUNCTION("""COMPUTED_VALUE"""),43642)</f>
        <v>43642</v>
      </c>
      <c r="E1405">
        <f ca="1">IFERROR(__xludf.DUMMYFUNCTION("""COMPUTED_VALUE"""),440)</f>
        <v>440</v>
      </c>
      <c r="F1405">
        <v>447</v>
      </c>
      <c r="G1405">
        <v>0.98434004474272929</v>
      </c>
      <c r="H1405">
        <v>27118</v>
      </c>
      <c r="I1405">
        <v>43642</v>
      </c>
      <c r="J1405">
        <v>27118</v>
      </c>
      <c r="K1405">
        <v>0.97182477704510584</v>
      </c>
      <c r="L1405">
        <f t="shared" ref="L1405:M1409" ca="1" si="138">E1405*0.621371</f>
        <v>273.40323999999998</v>
      </c>
      <c r="M1405">
        <f t="shared" si="138"/>
        <v>277.752837</v>
      </c>
      <c r="N1405">
        <v>27118</v>
      </c>
      <c r="O1405">
        <f t="shared" ca="1" si="133"/>
        <v>0.98434004474272929</v>
      </c>
    </row>
    <row r="1406" spans="1:15" x14ac:dyDescent="0.2">
      <c r="A1406" t="str">
        <f ca="1">IFERROR(__xludf.DUMMYFUNCTION("""COMPUTED_VALUE"""),"km")</f>
        <v>km</v>
      </c>
      <c r="B1406" t="str">
        <f ca="1">IFERROR(__xludf.DUMMYFUNCTION("""COMPUTED_VALUE"""),"Model S 90D")</f>
        <v>Model S 90D</v>
      </c>
      <c r="C1406">
        <f ca="1">IFERROR(__xludf.DUMMYFUNCTION("""COMPUTED_VALUE"""),450)</f>
        <v>450</v>
      </c>
      <c r="D1406">
        <f ca="1">IFERROR(__xludf.DUMMYFUNCTION("""COMPUTED_VALUE"""),38003)</f>
        <v>38003</v>
      </c>
      <c r="E1406">
        <f ca="1">IFERROR(__xludf.DUMMYFUNCTION("""COMPUTED_VALUE"""),440)</f>
        <v>440</v>
      </c>
      <c r="F1406">
        <v>447</v>
      </c>
      <c r="G1406">
        <v>0.98434004474272929</v>
      </c>
      <c r="H1406">
        <v>23614</v>
      </c>
      <c r="I1406">
        <v>38003</v>
      </c>
      <c r="J1406">
        <v>23614</v>
      </c>
      <c r="K1406">
        <v>0.97526753289023738</v>
      </c>
      <c r="L1406">
        <f t="shared" ca="1" si="138"/>
        <v>273.40323999999998</v>
      </c>
      <c r="M1406">
        <f t="shared" si="138"/>
        <v>277.752837</v>
      </c>
      <c r="N1406">
        <v>23614</v>
      </c>
      <c r="O1406">
        <f t="shared" ca="1" si="133"/>
        <v>0.98434004474272929</v>
      </c>
    </row>
    <row r="1407" spans="1:15" x14ac:dyDescent="0.2">
      <c r="A1407" t="str">
        <f ca="1">IFERROR(__xludf.DUMMYFUNCTION("""COMPUTED_VALUE"""),"km")</f>
        <v>km</v>
      </c>
      <c r="B1407" t="str">
        <f ca="1">IFERROR(__xludf.DUMMYFUNCTION("""COMPUTED_VALUE"""),"Model S 90D")</f>
        <v>Model S 90D</v>
      </c>
      <c r="D1407">
        <f ca="1">IFERROR(__xludf.DUMMYFUNCTION("""COMPUTED_VALUE"""),48000)</f>
        <v>48000</v>
      </c>
      <c r="E1407">
        <f ca="1">IFERROR(__xludf.DUMMYFUNCTION("""COMPUTED_VALUE"""),440)</f>
        <v>440</v>
      </c>
      <c r="F1407">
        <v>447</v>
      </c>
      <c r="G1407">
        <v>0.98434004474272929</v>
      </c>
      <c r="H1407">
        <v>29826</v>
      </c>
      <c r="I1407">
        <v>48000</v>
      </c>
      <c r="J1407">
        <v>29826</v>
      </c>
      <c r="K1407">
        <v>0.96920504742353453</v>
      </c>
      <c r="L1407">
        <f t="shared" ca="1" si="138"/>
        <v>273.40323999999998</v>
      </c>
      <c r="M1407">
        <f t="shared" si="138"/>
        <v>277.752837</v>
      </c>
      <c r="N1407">
        <v>29826</v>
      </c>
      <c r="O1407">
        <f t="shared" ca="1" si="133"/>
        <v>0.98434004474272929</v>
      </c>
    </row>
    <row r="1408" spans="1:15" x14ac:dyDescent="0.2">
      <c r="A1408" t="str">
        <f ca="1">IFERROR(__xludf.DUMMYFUNCTION("""COMPUTED_VALUE"""),"km")</f>
        <v>km</v>
      </c>
      <c r="B1408" t="str">
        <f ca="1">IFERROR(__xludf.DUMMYFUNCTION("""COMPUTED_VALUE"""),"Model S 75D")</f>
        <v>Model S 75D</v>
      </c>
      <c r="C1408">
        <f ca="1">IFERROR(__xludf.DUMMYFUNCTION("""COMPUTED_VALUE"""),393)</f>
        <v>393</v>
      </c>
      <c r="D1408">
        <f ca="1">IFERROR(__xludf.DUMMYFUNCTION("""COMPUTED_VALUE"""),92000)</f>
        <v>92000</v>
      </c>
      <c r="E1408">
        <f ca="1">IFERROR(__xludf.DUMMYFUNCTION("""COMPUTED_VALUE"""),378)</f>
        <v>378</v>
      </c>
      <c r="F1408">
        <v>384</v>
      </c>
      <c r="G1408">
        <v>0.984375</v>
      </c>
      <c r="H1408">
        <v>57166</v>
      </c>
      <c r="I1408">
        <v>92000</v>
      </c>
      <c r="J1408">
        <v>57166</v>
      </c>
      <c r="K1408">
        <v>0.94479628662552917</v>
      </c>
      <c r="L1408">
        <f t="shared" ca="1" si="138"/>
        <v>234.87823800000001</v>
      </c>
      <c r="M1408">
        <f t="shared" si="138"/>
        <v>238.60646400000002</v>
      </c>
      <c r="N1408">
        <v>57166</v>
      </c>
      <c r="O1408">
        <f t="shared" ca="1" si="133"/>
        <v>0.984375</v>
      </c>
    </row>
    <row r="1409" spans="1:15" x14ac:dyDescent="0.2">
      <c r="A1409" t="str">
        <f ca="1">IFERROR(__xludf.DUMMYFUNCTION("""COMPUTED_VALUE"""),"km")</f>
        <v>km</v>
      </c>
      <c r="B1409" t="str">
        <f ca="1">IFERROR(__xludf.DUMMYFUNCTION("""COMPUTED_VALUE"""),"Model S 75D")</f>
        <v>Model S 75D</v>
      </c>
      <c r="C1409">
        <f ca="1">IFERROR(__xludf.DUMMYFUNCTION("""COMPUTED_VALUE"""),386)</f>
        <v>386</v>
      </c>
      <c r="D1409">
        <f ca="1">IFERROR(__xludf.DUMMYFUNCTION("""COMPUTED_VALUE"""),11479)</f>
        <v>11479</v>
      </c>
      <c r="E1409">
        <f ca="1">IFERROR(__xludf.DUMMYFUNCTION("""COMPUTED_VALUE"""),378)</f>
        <v>378</v>
      </c>
      <c r="F1409">
        <v>384</v>
      </c>
      <c r="G1409">
        <v>0.984375</v>
      </c>
      <c r="H1409">
        <v>7133</v>
      </c>
      <c r="I1409">
        <v>11479</v>
      </c>
      <c r="J1409">
        <v>7133</v>
      </c>
      <c r="K1409">
        <v>0.99225184357943708</v>
      </c>
      <c r="L1409">
        <f t="shared" ca="1" si="138"/>
        <v>234.87823800000001</v>
      </c>
      <c r="M1409">
        <f t="shared" si="138"/>
        <v>238.60646400000002</v>
      </c>
      <c r="N1409">
        <v>7133</v>
      </c>
      <c r="O1409">
        <f t="shared" ca="1" si="133"/>
        <v>0.984375</v>
      </c>
    </row>
    <row r="1410" spans="1:15" x14ac:dyDescent="0.2">
      <c r="A1410" t="str">
        <f ca="1">IFERROR(__xludf.DUMMYFUNCTION("""COMPUTED_VALUE"""),"mi")</f>
        <v>mi</v>
      </c>
      <c r="B1410" t="str">
        <f ca="1">IFERROR(__xludf.DUMMYFUNCTION("""COMPUTED_VALUE"""),"Model S 75D")</f>
        <v>Model S 75D</v>
      </c>
      <c r="C1410">
        <f ca="1">IFERROR(__xludf.DUMMYFUNCTION("""COMPUTED_VALUE"""),259)</f>
        <v>259</v>
      </c>
      <c r="D1410">
        <f ca="1">IFERROR(__xludf.DUMMYFUNCTION("""COMPUTED_VALUE"""),20500)</f>
        <v>20500</v>
      </c>
      <c r="E1410">
        <f ca="1">IFERROR(__xludf.DUMMYFUNCTION("""COMPUTED_VALUE"""),255)</f>
        <v>255</v>
      </c>
      <c r="F1410">
        <v>259</v>
      </c>
      <c r="G1410">
        <v>0.98455598455598459</v>
      </c>
      <c r="H1410">
        <v>20500</v>
      </c>
      <c r="I1410">
        <v>32992</v>
      </c>
      <c r="J1410">
        <v>20500</v>
      </c>
      <c r="K1410">
        <v>0.97837674675531694</v>
      </c>
      <c r="L1410">
        <f ca="1">IFERROR(__xludf.DUMMYFUNCTION("""COMPUTED_VALUE"""),255)</f>
        <v>255</v>
      </c>
      <c r="M1410">
        <v>259</v>
      </c>
      <c r="N1410">
        <v>20500</v>
      </c>
      <c r="O1410">
        <f t="shared" ref="O1410:O1473" ca="1" si="139">L1410/M1410</f>
        <v>0.98455598455598459</v>
      </c>
    </row>
    <row r="1411" spans="1:15" x14ac:dyDescent="0.2">
      <c r="A1411" t="str">
        <f ca="1">IFERROR(__xludf.DUMMYFUNCTION("""COMPUTED_VALUE"""),"mi")</f>
        <v>mi</v>
      </c>
      <c r="B1411" t="str">
        <f ca="1">IFERROR(__xludf.DUMMYFUNCTION("""COMPUTED_VALUE"""),"Model 3 LR")</f>
        <v>Model 3 LR</v>
      </c>
      <c r="C1411">
        <f ca="1">IFERROR(__xludf.DUMMYFUNCTION("""COMPUTED_VALUE"""),324)</f>
        <v>324</v>
      </c>
      <c r="D1411">
        <f ca="1">IFERROR(__xludf.DUMMYFUNCTION("""COMPUTED_VALUE"""),25253)</f>
        <v>25253</v>
      </c>
      <c r="E1411">
        <f ca="1">IFERROR(__xludf.DUMMYFUNCTION("""COMPUTED_VALUE"""),320)</f>
        <v>320</v>
      </c>
      <c r="F1411">
        <v>325</v>
      </c>
      <c r="G1411">
        <v>0.98461538461538467</v>
      </c>
      <c r="H1411">
        <v>25253</v>
      </c>
      <c r="I1411">
        <v>40641</v>
      </c>
      <c r="J1411">
        <v>25253</v>
      </c>
      <c r="K1411">
        <v>0.97364954638818257</v>
      </c>
      <c r="L1411">
        <f ca="1">IFERROR(__xludf.DUMMYFUNCTION("""COMPUTED_VALUE"""),320)</f>
        <v>320</v>
      </c>
      <c r="M1411">
        <v>325</v>
      </c>
      <c r="N1411">
        <v>25253</v>
      </c>
      <c r="O1411">
        <f t="shared" ca="1" si="139"/>
        <v>0.98461538461538467</v>
      </c>
    </row>
    <row r="1412" spans="1:15" x14ac:dyDescent="0.2">
      <c r="A1412" t="str">
        <f ca="1">IFERROR(__xludf.DUMMYFUNCTION("""COMPUTED_VALUE"""),"km")</f>
        <v>km</v>
      </c>
      <c r="B1412" t="str">
        <f ca="1">IFERROR(__xludf.DUMMYFUNCTION("""COMPUTED_VALUE"""),"Model X 75D")</f>
        <v>Model X 75D</v>
      </c>
      <c r="D1412">
        <f ca="1">IFERROR(__xludf.DUMMYFUNCTION("""COMPUTED_VALUE"""),33400)</f>
        <v>33400</v>
      </c>
      <c r="E1412">
        <f ca="1">IFERROR(__xludf.DUMMYFUNCTION("""COMPUTED_VALUE"""),324)</f>
        <v>324</v>
      </c>
      <c r="F1412">
        <v>329</v>
      </c>
      <c r="G1412">
        <v>0.98480243161094227</v>
      </c>
      <c r="H1412">
        <v>20754</v>
      </c>
      <c r="I1412">
        <v>33400</v>
      </c>
      <c r="J1412">
        <v>20754</v>
      </c>
      <c r="K1412">
        <v>0.97812184373958955</v>
      </c>
      <c r="L1412">
        <f t="shared" ref="L1412:L1420" ca="1" si="140">E1412*0.621371</f>
        <v>201.32420400000001</v>
      </c>
      <c r="M1412">
        <f t="shared" ref="M1412:M1420" si="141">F1412*0.621371</f>
        <v>204.431059</v>
      </c>
      <c r="N1412">
        <v>20754</v>
      </c>
      <c r="O1412">
        <f t="shared" ca="1" si="139"/>
        <v>0.98480243161094227</v>
      </c>
    </row>
    <row r="1413" spans="1:15" x14ac:dyDescent="0.2">
      <c r="A1413" t="str">
        <f ca="1">IFERROR(__xludf.DUMMYFUNCTION("""COMPUTED_VALUE"""),"km")</f>
        <v>km</v>
      </c>
      <c r="B1413" t="str">
        <f ca="1">IFERROR(__xludf.DUMMYFUNCTION("""COMPUTED_VALUE"""),"Model S 85")</f>
        <v>Model S 85</v>
      </c>
      <c r="D1413">
        <f ca="1">IFERROR(__xludf.DUMMYFUNCTION("""COMPUTED_VALUE"""),14857)</f>
        <v>14857</v>
      </c>
      <c r="E1413">
        <f ca="1">IFERROR(__xludf.DUMMYFUNCTION("""COMPUTED_VALUE"""),389)</f>
        <v>389</v>
      </c>
      <c r="F1413">
        <v>395</v>
      </c>
      <c r="G1413">
        <v>0.98481012658227851</v>
      </c>
      <c r="H1413">
        <v>9232</v>
      </c>
      <c r="I1413">
        <v>14857</v>
      </c>
      <c r="J1413">
        <v>9232</v>
      </c>
      <c r="K1413">
        <v>0.99001709871110877</v>
      </c>
      <c r="L1413">
        <f t="shared" ca="1" si="140"/>
        <v>241.71331900000001</v>
      </c>
      <c r="M1413">
        <f t="shared" si="141"/>
        <v>245.44154499999999</v>
      </c>
      <c r="N1413">
        <v>9232</v>
      </c>
      <c r="O1413">
        <f t="shared" ca="1" si="139"/>
        <v>0.98481012658227862</v>
      </c>
    </row>
    <row r="1414" spans="1:15" x14ac:dyDescent="0.2">
      <c r="A1414" t="str">
        <f ca="1">IFERROR(__xludf.DUMMYFUNCTION("""COMPUTED_VALUE"""),"km")</f>
        <v>km</v>
      </c>
      <c r="B1414" t="str">
        <f ca="1">IFERROR(__xludf.DUMMYFUNCTION("""COMPUTED_VALUE"""),"Model S 85")</f>
        <v>Model S 85</v>
      </c>
      <c r="D1414">
        <f ca="1">IFERROR(__xludf.DUMMYFUNCTION("""COMPUTED_VALUE"""),79950)</f>
        <v>79950</v>
      </c>
      <c r="E1414">
        <f ca="1">IFERROR(__xludf.DUMMYFUNCTION("""COMPUTED_VALUE"""),389)</f>
        <v>389</v>
      </c>
      <c r="F1414">
        <v>395</v>
      </c>
      <c r="G1414">
        <v>0.98481012658227851</v>
      </c>
      <c r="H1414">
        <v>49679</v>
      </c>
      <c r="I1414">
        <v>79950</v>
      </c>
      <c r="J1414">
        <v>49679</v>
      </c>
      <c r="K1414">
        <v>0.95110655484932782</v>
      </c>
      <c r="L1414">
        <f t="shared" ca="1" si="140"/>
        <v>241.71331900000001</v>
      </c>
      <c r="M1414">
        <f t="shared" si="141"/>
        <v>245.44154499999999</v>
      </c>
      <c r="N1414">
        <v>49679</v>
      </c>
      <c r="O1414">
        <f t="shared" ca="1" si="139"/>
        <v>0.98481012658227862</v>
      </c>
    </row>
    <row r="1415" spans="1:15" x14ac:dyDescent="0.2">
      <c r="A1415" t="str">
        <f ca="1">IFERROR(__xludf.DUMMYFUNCTION("""COMPUTED_VALUE"""),"km")</f>
        <v>km</v>
      </c>
      <c r="B1415" t="str">
        <f ca="1">IFERROR(__xludf.DUMMYFUNCTION("""COMPUTED_VALUE"""),"Model S 85")</f>
        <v>Model S 85</v>
      </c>
      <c r="C1415">
        <f ca="1">IFERROR(__xludf.DUMMYFUNCTION("""COMPUTED_VALUE"""),384)</f>
        <v>384</v>
      </c>
      <c r="D1415">
        <f ca="1">IFERROR(__xludf.DUMMYFUNCTION("""COMPUTED_VALUE"""),40200)</f>
        <v>40200</v>
      </c>
      <c r="E1415">
        <f ca="1">IFERROR(__xludf.DUMMYFUNCTION("""COMPUTED_VALUE"""),389)</f>
        <v>389</v>
      </c>
      <c r="F1415">
        <v>395</v>
      </c>
      <c r="G1415">
        <v>0.98481012658227851</v>
      </c>
      <c r="H1415">
        <v>24979</v>
      </c>
      <c r="I1415">
        <v>40200</v>
      </c>
      <c r="J1415">
        <v>24979</v>
      </c>
      <c r="K1415">
        <v>0.97391912179367712</v>
      </c>
      <c r="L1415">
        <f t="shared" ca="1" si="140"/>
        <v>241.71331900000001</v>
      </c>
      <c r="M1415">
        <f t="shared" si="141"/>
        <v>245.44154499999999</v>
      </c>
      <c r="N1415">
        <v>24979</v>
      </c>
      <c r="O1415">
        <f t="shared" ca="1" si="139"/>
        <v>0.98481012658227862</v>
      </c>
    </row>
    <row r="1416" spans="1:15" x14ac:dyDescent="0.2">
      <c r="A1416" t="str">
        <f ca="1">IFERROR(__xludf.DUMMYFUNCTION("""COMPUTED_VALUE"""),"km")</f>
        <v>km</v>
      </c>
      <c r="B1416" t="str">
        <f ca="1">IFERROR(__xludf.DUMMYFUNCTION("""COMPUTED_VALUE"""),"Model S 85")</f>
        <v>Model S 85</v>
      </c>
      <c r="C1416">
        <f ca="1">IFERROR(__xludf.DUMMYFUNCTION("""COMPUTED_VALUE"""),394)</f>
        <v>394</v>
      </c>
      <c r="D1416">
        <f ca="1">IFERROR(__xludf.DUMMYFUNCTION("""COMPUTED_VALUE"""),14700)</f>
        <v>14700</v>
      </c>
      <c r="E1416">
        <f ca="1">IFERROR(__xludf.DUMMYFUNCTION("""COMPUTED_VALUE"""),389)</f>
        <v>389</v>
      </c>
      <c r="F1416">
        <v>395</v>
      </c>
      <c r="G1416">
        <v>0.98481012658227851</v>
      </c>
      <c r="H1416">
        <v>9134</v>
      </c>
      <c r="I1416">
        <v>14700</v>
      </c>
      <c r="J1416">
        <v>9134</v>
      </c>
      <c r="K1416">
        <v>0.99012050384648087</v>
      </c>
      <c r="L1416">
        <f t="shared" ca="1" si="140"/>
        <v>241.71331900000001</v>
      </c>
      <c r="M1416">
        <f t="shared" si="141"/>
        <v>245.44154499999999</v>
      </c>
      <c r="N1416">
        <v>9134</v>
      </c>
      <c r="O1416">
        <f t="shared" ca="1" si="139"/>
        <v>0.98481012658227862</v>
      </c>
    </row>
    <row r="1417" spans="1:15" x14ac:dyDescent="0.2">
      <c r="A1417" t="str">
        <f ca="1">IFERROR(__xludf.DUMMYFUNCTION("""COMPUTED_VALUE"""),"km")</f>
        <v>km</v>
      </c>
      <c r="B1417" t="str">
        <f ca="1">IFERROR(__xludf.DUMMYFUNCTION("""COMPUTED_VALUE"""),"Model S 85")</f>
        <v>Model S 85</v>
      </c>
      <c r="C1417">
        <f ca="1">IFERROR(__xludf.DUMMYFUNCTION("""COMPUTED_VALUE"""),398)</f>
        <v>398</v>
      </c>
      <c r="D1417">
        <f ca="1">IFERROR(__xludf.DUMMYFUNCTION("""COMPUTED_VALUE"""),23000)</f>
        <v>23000</v>
      </c>
      <c r="E1417">
        <f ca="1">IFERROR(__xludf.DUMMYFUNCTION("""COMPUTED_VALUE"""),389)</f>
        <v>389</v>
      </c>
      <c r="F1417">
        <v>395</v>
      </c>
      <c r="G1417">
        <v>0.98481012658227851</v>
      </c>
      <c r="H1417">
        <v>14292</v>
      </c>
      <c r="I1417">
        <v>23000</v>
      </c>
      <c r="J1417">
        <v>14292</v>
      </c>
      <c r="K1417">
        <v>0.98471555221730389</v>
      </c>
      <c r="L1417">
        <f t="shared" ca="1" si="140"/>
        <v>241.71331900000001</v>
      </c>
      <c r="M1417">
        <f t="shared" si="141"/>
        <v>245.44154499999999</v>
      </c>
      <c r="N1417">
        <v>14292</v>
      </c>
      <c r="O1417">
        <f t="shared" ca="1" si="139"/>
        <v>0.98481012658227862</v>
      </c>
    </row>
    <row r="1418" spans="1:15" x14ac:dyDescent="0.2">
      <c r="A1418" t="str">
        <f ca="1">IFERROR(__xludf.DUMMYFUNCTION("""COMPUTED_VALUE"""),"km")</f>
        <v>km</v>
      </c>
      <c r="B1418" t="str">
        <f ca="1">IFERROR(__xludf.DUMMYFUNCTION("""COMPUTED_VALUE"""),"Model S 85")</f>
        <v>Model S 85</v>
      </c>
      <c r="C1418">
        <f ca="1">IFERROR(__xludf.DUMMYFUNCTION("""COMPUTED_VALUE"""),399)</f>
        <v>399</v>
      </c>
      <c r="D1418">
        <f ca="1">IFERROR(__xludf.DUMMYFUNCTION("""COMPUTED_VALUE"""),20120)</f>
        <v>20120</v>
      </c>
      <c r="E1418">
        <f ca="1">IFERROR(__xludf.DUMMYFUNCTION("""COMPUTED_VALUE"""),389)</f>
        <v>389</v>
      </c>
      <c r="F1418">
        <v>395</v>
      </c>
      <c r="G1418">
        <v>0.98481012658227851</v>
      </c>
      <c r="H1418">
        <v>12502</v>
      </c>
      <c r="I1418">
        <v>20120</v>
      </c>
      <c r="J1418">
        <v>12502</v>
      </c>
      <c r="K1418">
        <v>0.9865767294037886</v>
      </c>
      <c r="L1418">
        <f t="shared" ca="1" si="140"/>
        <v>241.71331900000001</v>
      </c>
      <c r="M1418">
        <f t="shared" si="141"/>
        <v>245.44154499999999</v>
      </c>
      <c r="N1418">
        <v>12502</v>
      </c>
      <c r="O1418">
        <f t="shared" ca="1" si="139"/>
        <v>0.98481012658227862</v>
      </c>
    </row>
    <row r="1419" spans="1:15" x14ac:dyDescent="0.2">
      <c r="A1419" t="str">
        <f ca="1">IFERROR(__xludf.DUMMYFUNCTION("""COMPUTED_VALUE"""),"km")</f>
        <v>km</v>
      </c>
      <c r="B1419" t="str">
        <f ca="1">IFERROR(__xludf.DUMMYFUNCTION("""COMPUTED_VALUE"""),"Model S 85")</f>
        <v>Model S 85</v>
      </c>
      <c r="D1419">
        <f ca="1">IFERROR(__xludf.DUMMYFUNCTION("""COMPUTED_VALUE"""),11234)</f>
        <v>11234</v>
      </c>
      <c r="E1419">
        <f ca="1">IFERROR(__xludf.DUMMYFUNCTION("""COMPUTED_VALUE"""),389)</f>
        <v>389</v>
      </c>
      <c r="F1419">
        <v>395</v>
      </c>
      <c r="G1419">
        <v>0.98481012658227851</v>
      </c>
      <c r="H1419">
        <v>6980</v>
      </c>
      <c r="I1419">
        <v>11234</v>
      </c>
      <c r="J1419">
        <v>6980</v>
      </c>
      <c r="K1419">
        <v>0.99241473102694622</v>
      </c>
      <c r="L1419">
        <f t="shared" ca="1" si="140"/>
        <v>241.71331900000001</v>
      </c>
      <c r="M1419">
        <f t="shared" si="141"/>
        <v>245.44154499999999</v>
      </c>
      <c r="N1419">
        <v>6980</v>
      </c>
      <c r="O1419">
        <f t="shared" ca="1" si="139"/>
        <v>0.98481012658227862</v>
      </c>
    </row>
    <row r="1420" spans="1:15" x14ac:dyDescent="0.2">
      <c r="A1420" t="str">
        <f ca="1">IFERROR(__xludf.DUMMYFUNCTION("""COMPUTED_VALUE"""),"km")</f>
        <v>km</v>
      </c>
      <c r="B1420" t="str">
        <f ca="1">IFERROR(__xludf.DUMMYFUNCTION("""COMPUTED_VALUE"""),"Model S 85")</f>
        <v>Model S 85</v>
      </c>
      <c r="D1420">
        <f ca="1">IFERROR(__xludf.DUMMYFUNCTION("""COMPUTED_VALUE"""),51700)</f>
        <v>51700</v>
      </c>
      <c r="E1420">
        <f ca="1">IFERROR(__xludf.DUMMYFUNCTION("""COMPUTED_VALUE"""),389)</f>
        <v>389</v>
      </c>
      <c r="F1420">
        <v>395</v>
      </c>
      <c r="G1420">
        <v>0.98481012658227851</v>
      </c>
      <c r="H1420">
        <v>32125</v>
      </c>
      <c r="I1420">
        <v>51700</v>
      </c>
      <c r="J1420">
        <v>32125</v>
      </c>
      <c r="K1420">
        <v>0.96700902628020713</v>
      </c>
      <c r="L1420">
        <f t="shared" ca="1" si="140"/>
        <v>241.71331900000001</v>
      </c>
      <c r="M1420">
        <f t="shared" si="141"/>
        <v>245.44154499999999</v>
      </c>
      <c r="N1420">
        <v>32125</v>
      </c>
      <c r="O1420">
        <f t="shared" ca="1" si="139"/>
        <v>0.98481012658227862</v>
      </c>
    </row>
    <row r="1421" spans="1:15" x14ac:dyDescent="0.2">
      <c r="A1421" t="str">
        <f ca="1">IFERROR(__xludf.DUMMYFUNCTION("""COMPUTED_VALUE"""),"mi")</f>
        <v>mi</v>
      </c>
      <c r="B1421" t="str">
        <f ca="1">IFERROR(__xludf.DUMMYFUNCTION("""COMPUTED_VALUE"""),"Model S 85")</f>
        <v>Model S 85</v>
      </c>
      <c r="C1421">
        <f ca="1">IFERROR(__xludf.DUMMYFUNCTION("""COMPUTED_VALUE"""),265)</f>
        <v>265</v>
      </c>
      <c r="D1421">
        <f ca="1">IFERROR(__xludf.DUMMYFUNCTION("""COMPUTED_VALUE"""),13734)</f>
        <v>13734</v>
      </c>
      <c r="E1421">
        <f ca="1">IFERROR(__xludf.DUMMYFUNCTION("""COMPUTED_VALUE"""),262)</f>
        <v>262</v>
      </c>
      <c r="F1421">
        <v>266</v>
      </c>
      <c r="G1421">
        <v>0.98496240601503759</v>
      </c>
      <c r="H1421">
        <v>13734</v>
      </c>
      <c r="I1421">
        <v>22103</v>
      </c>
      <c r="J1421">
        <v>13734</v>
      </c>
      <c r="K1421">
        <v>0.98529360002684796</v>
      </c>
      <c r="L1421">
        <f ca="1">IFERROR(__xludf.DUMMYFUNCTION("""COMPUTED_VALUE"""),262)</f>
        <v>262</v>
      </c>
      <c r="M1421">
        <v>266</v>
      </c>
      <c r="N1421">
        <v>13734</v>
      </c>
      <c r="O1421">
        <f t="shared" ca="1" si="139"/>
        <v>0.98496240601503759</v>
      </c>
    </row>
    <row r="1422" spans="1:15" x14ac:dyDescent="0.2">
      <c r="A1422" t="str">
        <f ca="1">IFERROR(__xludf.DUMMYFUNCTION("""COMPUTED_VALUE"""),"mi")</f>
        <v>mi</v>
      </c>
      <c r="B1422" t="str">
        <f ca="1">IFERROR(__xludf.DUMMYFUNCTION("""COMPUTED_VALUE"""),"Model S 85")</f>
        <v>Model S 85</v>
      </c>
      <c r="D1422">
        <f ca="1">IFERROR(__xludf.DUMMYFUNCTION("""COMPUTED_VALUE"""),32016)</f>
        <v>32016</v>
      </c>
      <c r="E1422">
        <f ca="1">IFERROR(__xludf.DUMMYFUNCTION("""COMPUTED_VALUE"""),262)</f>
        <v>262</v>
      </c>
      <c r="F1422">
        <v>266</v>
      </c>
      <c r="G1422">
        <v>0.98496240601503759</v>
      </c>
      <c r="H1422">
        <v>32016</v>
      </c>
      <c r="I1422">
        <v>51525</v>
      </c>
      <c r="J1422">
        <v>32016</v>
      </c>
      <c r="K1422">
        <v>0.96711230767779366</v>
      </c>
      <c r="L1422">
        <f ca="1">IFERROR(__xludf.DUMMYFUNCTION("""COMPUTED_VALUE"""),262)</f>
        <v>262</v>
      </c>
      <c r="M1422">
        <v>266</v>
      </c>
      <c r="N1422">
        <v>32016</v>
      </c>
      <c r="O1422">
        <f t="shared" ca="1" si="139"/>
        <v>0.98496240601503759</v>
      </c>
    </row>
    <row r="1423" spans="1:15" x14ac:dyDescent="0.2">
      <c r="A1423" t="str">
        <f ca="1">IFERROR(__xludf.DUMMYFUNCTION("""COMPUTED_VALUE"""),"mi")</f>
        <v>mi</v>
      </c>
      <c r="B1423" t="str">
        <f ca="1">IFERROR(__xludf.DUMMYFUNCTION("""COMPUTED_VALUE"""),"Model S P90D")</f>
        <v>Model S P90D</v>
      </c>
      <c r="C1423">
        <f ca="1">IFERROR(__xludf.DUMMYFUNCTION("""COMPUTED_VALUE"""),271)</f>
        <v>271</v>
      </c>
      <c r="D1423">
        <f ca="1">IFERROR(__xludf.DUMMYFUNCTION("""COMPUTED_VALUE"""),10877)</f>
        <v>10877</v>
      </c>
      <c r="E1423">
        <f ca="1">IFERROR(__xludf.DUMMYFUNCTION("""COMPUTED_VALUE"""),267)</f>
        <v>267</v>
      </c>
      <c r="F1423">
        <v>271</v>
      </c>
      <c r="G1423">
        <v>0.98523985239852396</v>
      </c>
      <c r="H1423">
        <v>10877</v>
      </c>
      <c r="I1423">
        <v>17505</v>
      </c>
      <c r="J1423">
        <v>10877</v>
      </c>
      <c r="K1423">
        <v>0.98827980807782811</v>
      </c>
      <c r="L1423">
        <f ca="1">IFERROR(__xludf.DUMMYFUNCTION("""COMPUTED_VALUE"""),267)</f>
        <v>267</v>
      </c>
      <c r="M1423">
        <v>271</v>
      </c>
      <c r="N1423">
        <v>10877</v>
      </c>
      <c r="O1423">
        <f t="shared" ca="1" si="139"/>
        <v>0.98523985239852396</v>
      </c>
    </row>
    <row r="1424" spans="1:15" x14ac:dyDescent="0.2">
      <c r="A1424" t="str">
        <f ca="1">IFERROR(__xludf.DUMMYFUNCTION("""COMPUTED_VALUE"""),"km")</f>
        <v>km</v>
      </c>
      <c r="B1424" t="str">
        <f ca="1">IFERROR(__xludf.DUMMYFUNCTION("""COMPUTED_VALUE"""),"Model S 85D")</f>
        <v>Model S 85D</v>
      </c>
      <c r="D1424">
        <f ca="1">IFERROR(__xludf.DUMMYFUNCTION("""COMPUTED_VALUE"""),52600)</f>
        <v>52600</v>
      </c>
      <c r="E1424">
        <f ca="1">IFERROR(__xludf.DUMMYFUNCTION("""COMPUTED_VALUE"""),419)</f>
        <v>419</v>
      </c>
      <c r="F1424">
        <v>425</v>
      </c>
      <c r="G1424">
        <v>0.98588235294117643</v>
      </c>
      <c r="H1424">
        <v>32684</v>
      </c>
      <c r="I1424">
        <v>52600</v>
      </c>
      <c r="J1424">
        <v>32684</v>
      </c>
      <c r="K1424">
        <v>0.96647878307579815</v>
      </c>
      <c r="L1424">
        <f t="shared" ref="L1424:L1432" ca="1" si="142">E1424*0.621371</f>
        <v>260.35444899999999</v>
      </c>
      <c r="M1424">
        <f t="shared" ref="M1424:M1432" si="143">F1424*0.621371</f>
        <v>264.08267499999999</v>
      </c>
      <c r="N1424">
        <v>32684</v>
      </c>
      <c r="O1424">
        <f t="shared" ca="1" si="139"/>
        <v>0.98588235294117643</v>
      </c>
    </row>
    <row r="1425" spans="1:15" x14ac:dyDescent="0.2">
      <c r="A1425" t="str">
        <f ca="1">IFERROR(__xludf.DUMMYFUNCTION("""COMPUTED_VALUE"""),"km")</f>
        <v>km</v>
      </c>
      <c r="B1425" t="str">
        <f ca="1">IFERROR(__xludf.DUMMYFUNCTION("""COMPUTED_VALUE"""),"Model S 85D")</f>
        <v>Model S 85D</v>
      </c>
      <c r="D1425">
        <f ca="1">IFERROR(__xludf.DUMMYFUNCTION("""COMPUTED_VALUE"""),47128)</f>
        <v>47128</v>
      </c>
      <c r="E1425">
        <f ca="1">IFERROR(__xludf.DUMMYFUNCTION("""COMPUTED_VALUE"""),419)</f>
        <v>419</v>
      </c>
      <c r="F1425">
        <v>425</v>
      </c>
      <c r="G1425">
        <v>0.98588235294117643</v>
      </c>
      <c r="H1425">
        <v>29284</v>
      </c>
      <c r="I1425">
        <v>47128</v>
      </c>
      <c r="J1425">
        <v>29284</v>
      </c>
      <c r="K1425">
        <v>0.96972636724777561</v>
      </c>
      <c r="L1425">
        <f t="shared" ca="1" si="142"/>
        <v>260.35444899999999</v>
      </c>
      <c r="M1425">
        <f t="shared" si="143"/>
        <v>264.08267499999999</v>
      </c>
      <c r="N1425">
        <v>29284</v>
      </c>
      <c r="O1425">
        <f t="shared" ca="1" si="139"/>
        <v>0.98588235294117643</v>
      </c>
    </row>
    <row r="1426" spans="1:15" x14ac:dyDescent="0.2">
      <c r="A1426" t="str">
        <f ca="1">IFERROR(__xludf.DUMMYFUNCTION("""COMPUTED_VALUE"""),"km")</f>
        <v>km</v>
      </c>
      <c r="B1426" t="str">
        <f ca="1">IFERROR(__xludf.DUMMYFUNCTION("""COMPUTED_VALUE"""),"Model S 60")</f>
        <v>Model S 60</v>
      </c>
      <c r="D1426">
        <f ca="1">IFERROR(__xludf.DUMMYFUNCTION("""COMPUTED_VALUE"""),9161)</f>
        <v>9161</v>
      </c>
      <c r="E1426">
        <f ca="1">IFERROR(__xludf.DUMMYFUNCTION("""COMPUTED_VALUE"""),280)</f>
        <v>280</v>
      </c>
      <c r="F1426">
        <v>284</v>
      </c>
      <c r="G1426">
        <v>0.9859154929577465</v>
      </c>
      <c r="H1426">
        <v>5692</v>
      </c>
      <c r="I1426">
        <v>9161</v>
      </c>
      <c r="J1426">
        <v>5692</v>
      </c>
      <c r="K1426">
        <v>0.99379730999335625</v>
      </c>
      <c r="L1426">
        <f t="shared" ca="1" si="142"/>
        <v>173.98388</v>
      </c>
      <c r="M1426">
        <f t="shared" si="143"/>
        <v>176.46936400000001</v>
      </c>
      <c r="N1426">
        <v>5692</v>
      </c>
      <c r="O1426">
        <f t="shared" ca="1" si="139"/>
        <v>0.98591549295774639</v>
      </c>
    </row>
    <row r="1427" spans="1:15" x14ac:dyDescent="0.2">
      <c r="A1427" t="str">
        <f ca="1">IFERROR(__xludf.DUMMYFUNCTION("""COMPUTED_VALUE"""),"km")</f>
        <v>km</v>
      </c>
      <c r="B1427" t="str">
        <f ca="1">IFERROR(__xludf.DUMMYFUNCTION("""COMPUTED_VALUE"""),"Model S 90D 2015")</f>
        <v>Model S 90D 2015</v>
      </c>
      <c r="C1427">
        <f ca="1">IFERROR(__xludf.DUMMYFUNCTION("""COMPUTED_VALUE"""),421)</f>
        <v>421</v>
      </c>
      <c r="D1427">
        <f ca="1">IFERROR(__xludf.DUMMYFUNCTION("""COMPUTED_VALUE"""),1000)</f>
        <v>1000</v>
      </c>
      <c r="E1427">
        <f ca="1">IFERROR(__xludf.DUMMYFUNCTION("""COMPUTED_VALUE"""),421)</f>
        <v>421</v>
      </c>
      <c r="F1427">
        <v>427</v>
      </c>
      <c r="G1427">
        <v>0.98594847775175642</v>
      </c>
      <c r="H1427">
        <v>621</v>
      </c>
      <c r="I1427">
        <v>1000</v>
      </c>
      <c r="J1427">
        <v>621</v>
      </c>
      <c r="K1427">
        <v>0.99931559403684789</v>
      </c>
      <c r="L1427">
        <f t="shared" ca="1" si="142"/>
        <v>261.59719100000001</v>
      </c>
      <c r="M1427">
        <f t="shared" si="143"/>
        <v>265.32541700000002</v>
      </c>
      <c r="N1427">
        <v>621</v>
      </c>
      <c r="O1427">
        <f t="shared" ca="1" si="139"/>
        <v>0.98594847775175642</v>
      </c>
    </row>
    <row r="1428" spans="1:15" x14ac:dyDescent="0.2">
      <c r="A1428" t="str">
        <f ca="1">IFERROR(__xludf.DUMMYFUNCTION("""COMPUTED_VALUE"""),"km")</f>
        <v>km</v>
      </c>
      <c r="B1428" t="str">
        <f ca="1">IFERROR(__xludf.DUMMYFUNCTION("""COMPUTED_VALUE"""),"Model S 85")</f>
        <v>Model S 85</v>
      </c>
      <c r="D1428">
        <f ca="1">IFERROR(__xludf.DUMMYFUNCTION("""COMPUTED_VALUE"""),36474)</f>
        <v>36474</v>
      </c>
      <c r="E1428">
        <f ca="1">IFERROR(__xludf.DUMMYFUNCTION("""COMPUTED_VALUE"""),422)</f>
        <v>422</v>
      </c>
      <c r="F1428">
        <v>428</v>
      </c>
      <c r="G1428">
        <v>0.98598130841121501</v>
      </c>
      <c r="H1428">
        <v>22664</v>
      </c>
      <c r="I1428">
        <v>36474</v>
      </c>
      <c r="J1428">
        <v>22664</v>
      </c>
      <c r="K1428">
        <v>0.97621128188610706</v>
      </c>
      <c r="L1428">
        <f t="shared" ca="1" si="142"/>
        <v>262.21856200000002</v>
      </c>
      <c r="M1428">
        <f t="shared" si="143"/>
        <v>265.94678800000003</v>
      </c>
      <c r="N1428">
        <v>22664</v>
      </c>
      <c r="O1428">
        <f t="shared" ca="1" si="139"/>
        <v>0.9859813084112149</v>
      </c>
    </row>
    <row r="1429" spans="1:15" x14ac:dyDescent="0.2">
      <c r="A1429" t="str">
        <f ca="1">IFERROR(__xludf.DUMMYFUNCTION("""COMPUTED_VALUE"""),"km")</f>
        <v>km</v>
      </c>
      <c r="B1429" t="str">
        <f ca="1">IFERROR(__xludf.DUMMYFUNCTION("""COMPUTED_VALUE"""),"Model S 70D")</f>
        <v>Model S 70D</v>
      </c>
      <c r="C1429">
        <f ca="1">IFERROR(__xludf.DUMMYFUNCTION("""COMPUTED_VALUE"""),367)</f>
        <v>367</v>
      </c>
      <c r="D1429">
        <f ca="1">IFERROR(__xludf.DUMMYFUNCTION("""COMPUTED_VALUE"""),68968)</f>
        <v>68968</v>
      </c>
      <c r="E1429">
        <f ca="1">IFERROR(__xludf.DUMMYFUNCTION("""COMPUTED_VALUE"""),355)</f>
        <v>355</v>
      </c>
      <c r="F1429">
        <v>360</v>
      </c>
      <c r="G1429">
        <v>0.98611111111111116</v>
      </c>
      <c r="H1429">
        <v>42855</v>
      </c>
      <c r="I1429">
        <v>68968</v>
      </c>
      <c r="J1429">
        <v>42855</v>
      </c>
      <c r="K1429">
        <v>0.95710546648745831</v>
      </c>
      <c r="L1429">
        <f t="shared" ca="1" si="142"/>
        <v>220.58670499999999</v>
      </c>
      <c r="M1429">
        <f t="shared" si="143"/>
        <v>223.69355999999999</v>
      </c>
      <c r="N1429">
        <v>42855</v>
      </c>
      <c r="O1429">
        <f t="shared" ca="1" si="139"/>
        <v>0.98611111111111116</v>
      </c>
    </row>
    <row r="1430" spans="1:15" x14ac:dyDescent="0.2">
      <c r="A1430" t="str">
        <f ca="1">IFERROR(__xludf.DUMMYFUNCTION("""COMPUTED_VALUE"""),"km")</f>
        <v>km</v>
      </c>
      <c r="B1430" t="str">
        <f ca="1">IFERROR(__xludf.DUMMYFUNCTION("""COMPUTED_VALUE"""),"Model S 70D")</f>
        <v>Model S 70D</v>
      </c>
      <c r="C1430">
        <f ca="1">IFERROR(__xludf.DUMMYFUNCTION("""COMPUTED_VALUE"""),362)</f>
        <v>362</v>
      </c>
      <c r="D1430">
        <f ca="1">IFERROR(__xludf.DUMMYFUNCTION("""COMPUTED_VALUE"""),38729)</f>
        <v>38729</v>
      </c>
      <c r="E1430">
        <f ca="1">IFERROR(__xludf.DUMMYFUNCTION("""COMPUTED_VALUE"""),355)</f>
        <v>355</v>
      </c>
      <c r="F1430">
        <v>360</v>
      </c>
      <c r="G1430">
        <v>0.98611111111111116</v>
      </c>
      <c r="H1430">
        <v>24065</v>
      </c>
      <c r="I1430">
        <v>38729</v>
      </c>
      <c r="J1430">
        <v>24065</v>
      </c>
      <c r="K1430">
        <v>0.97482095082079301</v>
      </c>
      <c r="L1430">
        <f t="shared" ca="1" si="142"/>
        <v>220.58670499999999</v>
      </c>
      <c r="M1430">
        <f t="shared" si="143"/>
        <v>223.69355999999999</v>
      </c>
      <c r="N1430">
        <v>24065</v>
      </c>
      <c r="O1430">
        <f t="shared" ca="1" si="139"/>
        <v>0.98611111111111116</v>
      </c>
    </row>
    <row r="1431" spans="1:15" x14ac:dyDescent="0.2">
      <c r="A1431" t="str">
        <f ca="1">IFERROR(__xludf.DUMMYFUNCTION("""COMPUTED_VALUE"""),"km")</f>
        <v>km</v>
      </c>
      <c r="B1431" t="str">
        <f ca="1">IFERROR(__xludf.DUMMYFUNCTION("""COMPUTED_VALUE"""),"Model S 70D")</f>
        <v>Model S 70D</v>
      </c>
      <c r="C1431">
        <f ca="1">IFERROR(__xludf.DUMMYFUNCTION("""COMPUTED_VALUE"""),352)</f>
        <v>352</v>
      </c>
      <c r="D1431">
        <f ca="1">IFERROR(__xludf.DUMMYFUNCTION("""COMPUTED_VALUE"""),37891)</f>
        <v>37891</v>
      </c>
      <c r="E1431">
        <f ca="1">IFERROR(__xludf.DUMMYFUNCTION("""COMPUTED_VALUE"""),355)</f>
        <v>355</v>
      </c>
      <c r="F1431">
        <v>360</v>
      </c>
      <c r="G1431">
        <v>0.98611111111111116</v>
      </c>
      <c r="H1431">
        <v>23544</v>
      </c>
      <c r="I1431">
        <v>37891</v>
      </c>
      <c r="J1431">
        <v>23544</v>
      </c>
      <c r="K1431">
        <v>0.97533651479571504</v>
      </c>
      <c r="L1431">
        <f t="shared" ca="1" si="142"/>
        <v>220.58670499999999</v>
      </c>
      <c r="M1431">
        <f t="shared" si="143"/>
        <v>223.69355999999999</v>
      </c>
      <c r="N1431">
        <v>23544</v>
      </c>
      <c r="O1431">
        <f t="shared" ca="1" si="139"/>
        <v>0.98611111111111116</v>
      </c>
    </row>
    <row r="1432" spans="1:15" x14ac:dyDescent="0.2">
      <c r="A1432" t="str">
        <f ca="1">IFERROR(__xludf.DUMMYFUNCTION("""COMPUTED_VALUE"""),"km")</f>
        <v>km</v>
      </c>
      <c r="B1432" t="str">
        <f ca="1">IFERROR(__xludf.DUMMYFUNCTION("""COMPUTED_VALUE"""),"Model S 70D")</f>
        <v>Model S 70D</v>
      </c>
      <c r="C1432">
        <f ca="1">IFERROR(__xludf.DUMMYFUNCTION("""COMPUTED_VALUE"""),352)</f>
        <v>352</v>
      </c>
      <c r="D1432">
        <f ca="1">IFERROR(__xludf.DUMMYFUNCTION("""COMPUTED_VALUE"""),37050)</f>
        <v>37050</v>
      </c>
      <c r="E1432">
        <f ca="1">IFERROR(__xludf.DUMMYFUNCTION("""COMPUTED_VALUE"""),355)</f>
        <v>355</v>
      </c>
      <c r="F1432">
        <v>360</v>
      </c>
      <c r="G1432">
        <v>0.98611111111111116</v>
      </c>
      <c r="H1432">
        <v>23022</v>
      </c>
      <c r="I1432">
        <v>37050</v>
      </c>
      <c r="J1432">
        <v>23022</v>
      </c>
      <c r="K1432">
        <v>0.97585524344192276</v>
      </c>
      <c r="L1432">
        <f t="shared" ca="1" si="142"/>
        <v>220.58670499999999</v>
      </c>
      <c r="M1432">
        <f t="shared" si="143"/>
        <v>223.69355999999999</v>
      </c>
      <c r="N1432">
        <v>23022</v>
      </c>
      <c r="O1432">
        <f t="shared" ca="1" si="139"/>
        <v>0.98611111111111116</v>
      </c>
    </row>
    <row r="1433" spans="1:15" x14ac:dyDescent="0.2">
      <c r="A1433" t="str">
        <f ca="1">IFERROR(__xludf.DUMMYFUNCTION("""COMPUTED_VALUE"""),"mi")</f>
        <v>mi</v>
      </c>
      <c r="B1433" t="str">
        <f ca="1">IFERROR(__xludf.DUMMYFUNCTION("""COMPUTED_VALUE"""),"Model S 90D")</f>
        <v>Model S 90D</v>
      </c>
      <c r="C1433">
        <f ca="1">IFERROR(__xludf.DUMMYFUNCTION("""COMPUTED_VALUE"""),295)</f>
        <v>295</v>
      </c>
      <c r="D1433">
        <f ca="1">IFERROR(__xludf.DUMMYFUNCTION("""COMPUTED_VALUE"""),24881)</f>
        <v>24881</v>
      </c>
      <c r="E1433">
        <f ca="1">IFERROR(__xludf.DUMMYFUNCTION("""COMPUTED_VALUE"""),288.07)</f>
        <v>288.07</v>
      </c>
      <c r="F1433">
        <v>292</v>
      </c>
      <c r="G1433">
        <v>0.98654109589041095</v>
      </c>
      <c r="H1433">
        <v>24881</v>
      </c>
      <c r="I1433">
        <v>40042</v>
      </c>
      <c r="J1433">
        <v>24881</v>
      </c>
      <c r="K1433">
        <v>0.97401579301140817</v>
      </c>
      <c r="L1433">
        <f ca="1">IFERROR(__xludf.DUMMYFUNCTION("""COMPUTED_VALUE"""),288.07)</f>
        <v>288.07</v>
      </c>
      <c r="M1433">
        <v>292</v>
      </c>
      <c r="N1433">
        <v>24881</v>
      </c>
      <c r="O1433">
        <f t="shared" ca="1" si="139"/>
        <v>0.98654109589041095</v>
      </c>
    </row>
    <row r="1434" spans="1:15" x14ac:dyDescent="0.2">
      <c r="A1434" t="str">
        <f ca="1">IFERROR(__xludf.DUMMYFUNCTION("""COMPUTED_VALUE"""),"km")</f>
        <v>km</v>
      </c>
      <c r="B1434" t="str">
        <f ca="1">IFERROR(__xludf.DUMMYFUNCTION("""COMPUTED_VALUE"""),"Model S 90D")</f>
        <v>Model S 90D</v>
      </c>
      <c r="D1434">
        <f ca="1">IFERROR(__xludf.DUMMYFUNCTION("""COMPUTED_VALUE"""),64513)</f>
        <v>64513</v>
      </c>
      <c r="E1434">
        <f ca="1">IFERROR(__xludf.DUMMYFUNCTION("""COMPUTED_VALUE"""),441)</f>
        <v>441</v>
      </c>
      <c r="F1434">
        <v>447</v>
      </c>
      <c r="G1434">
        <v>0.98657718120805371</v>
      </c>
      <c r="H1434">
        <v>40087</v>
      </c>
      <c r="I1434">
        <v>64513</v>
      </c>
      <c r="J1434">
        <v>40087</v>
      </c>
      <c r="K1434">
        <v>0.95960571930296212</v>
      </c>
      <c r="L1434">
        <f t="shared" ref="L1434:M1441" ca="1" si="144">E1434*0.621371</f>
        <v>274.02461099999999</v>
      </c>
      <c r="M1434">
        <f t="shared" si="144"/>
        <v>277.752837</v>
      </c>
      <c r="N1434">
        <v>40087</v>
      </c>
      <c r="O1434">
        <f t="shared" ca="1" si="139"/>
        <v>0.98657718120805371</v>
      </c>
    </row>
    <row r="1435" spans="1:15" x14ac:dyDescent="0.2">
      <c r="A1435" t="str">
        <f ca="1">IFERROR(__xludf.DUMMYFUNCTION("""COMPUTED_VALUE"""),"km")</f>
        <v>km</v>
      </c>
      <c r="B1435" t="str">
        <f ca="1">IFERROR(__xludf.DUMMYFUNCTION("""COMPUTED_VALUE"""),"Model S 90D")</f>
        <v>Model S 90D</v>
      </c>
      <c r="C1435">
        <f ca="1">IFERROR(__xludf.DUMMYFUNCTION("""COMPUTED_VALUE"""),441)</f>
        <v>441</v>
      </c>
      <c r="D1435">
        <f ca="1">IFERROR(__xludf.DUMMYFUNCTION("""COMPUTED_VALUE"""),22827)</f>
        <v>22827</v>
      </c>
      <c r="E1435">
        <f ca="1">IFERROR(__xludf.DUMMYFUNCTION("""COMPUTED_VALUE"""),441)</f>
        <v>441</v>
      </c>
      <c r="F1435">
        <v>447</v>
      </c>
      <c r="G1435">
        <v>0.98657718120805371</v>
      </c>
      <c r="H1435">
        <v>14184</v>
      </c>
      <c r="I1435">
        <v>22827</v>
      </c>
      <c r="J1435">
        <v>14184</v>
      </c>
      <c r="K1435">
        <v>0.98482692247999681</v>
      </c>
      <c r="L1435">
        <f t="shared" ca="1" si="144"/>
        <v>274.02461099999999</v>
      </c>
      <c r="M1435">
        <f t="shared" si="144"/>
        <v>277.752837</v>
      </c>
      <c r="N1435">
        <v>14184</v>
      </c>
      <c r="O1435">
        <f t="shared" ca="1" si="139"/>
        <v>0.98657718120805371</v>
      </c>
    </row>
    <row r="1436" spans="1:15" x14ac:dyDescent="0.2">
      <c r="A1436" t="str">
        <f ca="1">IFERROR(__xludf.DUMMYFUNCTION("""COMPUTED_VALUE"""),"km")</f>
        <v>km</v>
      </c>
      <c r="B1436" t="str">
        <f ca="1">IFERROR(__xludf.DUMMYFUNCTION("""COMPUTED_VALUE"""),"Model S 90D")</f>
        <v>Model S 90D</v>
      </c>
      <c r="C1436">
        <f ca="1">IFERROR(__xludf.DUMMYFUNCTION("""COMPUTED_VALUE"""),441)</f>
        <v>441</v>
      </c>
      <c r="D1436">
        <f ca="1">IFERROR(__xludf.DUMMYFUNCTION("""COMPUTED_VALUE"""),800)</f>
        <v>800</v>
      </c>
      <c r="E1436">
        <f ca="1">IFERROR(__xludf.DUMMYFUNCTION("""COMPUTED_VALUE"""),441)</f>
        <v>441</v>
      </c>
      <c r="F1436">
        <v>447</v>
      </c>
      <c r="G1436">
        <v>0.98657718120805371</v>
      </c>
      <c r="H1436">
        <v>497</v>
      </c>
      <c r="I1436">
        <v>800</v>
      </c>
      <c r="J1436">
        <v>497</v>
      </c>
      <c r="K1436">
        <v>0.99945233196981209</v>
      </c>
      <c r="L1436">
        <f t="shared" ca="1" si="144"/>
        <v>274.02461099999999</v>
      </c>
      <c r="M1436">
        <f t="shared" si="144"/>
        <v>277.752837</v>
      </c>
      <c r="N1436">
        <v>497</v>
      </c>
      <c r="O1436">
        <f t="shared" ca="1" si="139"/>
        <v>0.98657718120805371</v>
      </c>
    </row>
    <row r="1437" spans="1:15" x14ac:dyDescent="0.2">
      <c r="A1437" t="str">
        <f ca="1">IFERROR(__xludf.DUMMYFUNCTION("""COMPUTED_VALUE"""),"km")</f>
        <v>km</v>
      </c>
      <c r="B1437" t="str">
        <f ca="1">IFERROR(__xludf.DUMMYFUNCTION("""COMPUTED_VALUE"""),"Model S 75")</f>
        <v>Model S 75</v>
      </c>
      <c r="C1437">
        <f ca="1">IFERROR(__xludf.DUMMYFUNCTION("""COMPUTED_VALUE"""),380)</f>
        <v>380</v>
      </c>
      <c r="D1437">
        <f ca="1">IFERROR(__xludf.DUMMYFUNCTION("""COMPUTED_VALUE"""),56000)</f>
        <v>56000</v>
      </c>
      <c r="E1437">
        <f ca="1">IFERROR(__xludf.DUMMYFUNCTION("""COMPUTED_VALUE"""),370)</f>
        <v>370</v>
      </c>
      <c r="F1437">
        <v>375</v>
      </c>
      <c r="G1437">
        <v>0.98666666666666669</v>
      </c>
      <c r="H1437">
        <v>34797</v>
      </c>
      <c r="I1437">
        <v>56000</v>
      </c>
      <c r="J1437">
        <v>34797</v>
      </c>
      <c r="K1437">
        <v>0.96448954167134049</v>
      </c>
      <c r="L1437">
        <f t="shared" ca="1" si="144"/>
        <v>229.90727000000001</v>
      </c>
      <c r="M1437">
        <f t="shared" si="144"/>
        <v>233.01412500000001</v>
      </c>
      <c r="N1437">
        <v>34797</v>
      </c>
      <c r="O1437">
        <f t="shared" ca="1" si="139"/>
        <v>0.98666666666666669</v>
      </c>
    </row>
    <row r="1438" spans="1:15" x14ac:dyDescent="0.2">
      <c r="A1438" t="str">
        <f ca="1">IFERROR(__xludf.DUMMYFUNCTION("""COMPUTED_VALUE"""),"km")</f>
        <v>km</v>
      </c>
      <c r="B1438" t="str">
        <f ca="1">IFERROR(__xludf.DUMMYFUNCTION("""COMPUTED_VALUE"""),"Model S 75")</f>
        <v>Model S 75</v>
      </c>
      <c r="D1438">
        <f ca="1">IFERROR(__xludf.DUMMYFUNCTION("""COMPUTED_VALUE"""),40000)</f>
        <v>40000</v>
      </c>
      <c r="E1438">
        <f ca="1">IFERROR(__xludf.DUMMYFUNCTION("""COMPUTED_VALUE"""),370)</f>
        <v>370</v>
      </c>
      <c r="F1438">
        <v>375</v>
      </c>
      <c r="G1438">
        <v>0.98666666666666669</v>
      </c>
      <c r="H1438">
        <v>24855</v>
      </c>
      <c r="I1438">
        <v>40000</v>
      </c>
      <c r="J1438">
        <v>24855</v>
      </c>
      <c r="K1438">
        <v>0.97404149828964304</v>
      </c>
      <c r="L1438">
        <f t="shared" ca="1" si="144"/>
        <v>229.90727000000001</v>
      </c>
      <c r="M1438">
        <f t="shared" si="144"/>
        <v>233.01412500000001</v>
      </c>
      <c r="N1438">
        <v>24855</v>
      </c>
      <c r="O1438">
        <f t="shared" ca="1" si="139"/>
        <v>0.98666666666666669</v>
      </c>
    </row>
    <row r="1439" spans="1:15" x14ac:dyDescent="0.2">
      <c r="A1439" t="str">
        <f ca="1">IFERROR(__xludf.DUMMYFUNCTION("""COMPUTED_VALUE"""),"km")</f>
        <v>km</v>
      </c>
      <c r="B1439" t="str">
        <f ca="1">IFERROR(__xludf.DUMMYFUNCTION("""COMPUTED_VALUE"""),"Model S 75")</f>
        <v>Model S 75</v>
      </c>
      <c r="C1439">
        <f ca="1">IFERROR(__xludf.DUMMYFUNCTION("""COMPUTED_VALUE"""),384)</f>
        <v>384</v>
      </c>
      <c r="D1439">
        <f ca="1">IFERROR(__xludf.DUMMYFUNCTION("""COMPUTED_VALUE"""),27000)</f>
        <v>27000</v>
      </c>
      <c r="E1439">
        <f ca="1">IFERROR(__xludf.DUMMYFUNCTION("""COMPUTED_VALUE"""),370)</f>
        <v>370</v>
      </c>
      <c r="F1439">
        <v>375</v>
      </c>
      <c r="G1439">
        <v>0.98666666666666669</v>
      </c>
      <c r="H1439">
        <v>16777</v>
      </c>
      <c r="I1439">
        <v>27000</v>
      </c>
      <c r="J1439">
        <v>16777</v>
      </c>
      <c r="K1439">
        <v>0.98215586999584537</v>
      </c>
      <c r="L1439">
        <f t="shared" ca="1" si="144"/>
        <v>229.90727000000001</v>
      </c>
      <c r="M1439">
        <f t="shared" si="144"/>
        <v>233.01412500000001</v>
      </c>
      <c r="N1439">
        <v>16777</v>
      </c>
      <c r="O1439">
        <f t="shared" ca="1" si="139"/>
        <v>0.98666666666666669</v>
      </c>
    </row>
    <row r="1440" spans="1:15" x14ac:dyDescent="0.2">
      <c r="A1440" t="str">
        <f ca="1">IFERROR(__xludf.DUMMYFUNCTION("""COMPUTED_VALUE"""),"km")</f>
        <v>km</v>
      </c>
      <c r="B1440" t="str">
        <f ca="1">IFERROR(__xludf.DUMMYFUNCTION("""COMPUTED_VALUE"""),"Model S 75D")</f>
        <v>Model S 75D</v>
      </c>
      <c r="C1440">
        <f ca="1">IFERROR(__xludf.DUMMYFUNCTION("""COMPUTED_VALUE"""),393)</f>
        <v>393</v>
      </c>
      <c r="D1440">
        <f ca="1">IFERROR(__xludf.DUMMYFUNCTION("""COMPUTED_VALUE"""),90150)</f>
        <v>90150</v>
      </c>
      <c r="E1440">
        <f ca="1">IFERROR(__xludf.DUMMYFUNCTION("""COMPUTED_VALUE"""),379)</f>
        <v>379</v>
      </c>
      <c r="F1440">
        <v>384</v>
      </c>
      <c r="G1440">
        <v>0.98697916666666663</v>
      </c>
      <c r="H1440">
        <v>56017</v>
      </c>
      <c r="I1440">
        <v>90150</v>
      </c>
      <c r="J1440">
        <v>56017</v>
      </c>
      <c r="K1440">
        <v>0.9457464381077294</v>
      </c>
      <c r="L1440">
        <f t="shared" ca="1" si="144"/>
        <v>235.49960899999999</v>
      </c>
      <c r="M1440">
        <f t="shared" si="144"/>
        <v>238.60646400000002</v>
      </c>
      <c r="N1440">
        <v>56017</v>
      </c>
      <c r="O1440">
        <f t="shared" ca="1" si="139"/>
        <v>0.98697916666666652</v>
      </c>
    </row>
    <row r="1441" spans="1:15" x14ac:dyDescent="0.2">
      <c r="A1441" t="str">
        <f ca="1">IFERROR(__xludf.DUMMYFUNCTION("""COMPUTED_VALUE"""),"km")</f>
        <v>km</v>
      </c>
      <c r="B1441" t="str">
        <f ca="1">IFERROR(__xludf.DUMMYFUNCTION("""COMPUTED_VALUE"""),"Model S 75D")</f>
        <v>Model S 75D</v>
      </c>
      <c r="D1441">
        <f ca="1">IFERROR(__xludf.DUMMYFUNCTION("""COMPUTED_VALUE"""),10025)</f>
        <v>10025</v>
      </c>
      <c r="E1441">
        <f ca="1">IFERROR(__xludf.DUMMYFUNCTION("""COMPUTED_VALUE"""),379)</f>
        <v>379</v>
      </c>
      <c r="F1441">
        <v>384</v>
      </c>
      <c r="G1441">
        <v>0.98697916666666663</v>
      </c>
      <c r="H1441">
        <v>6229</v>
      </c>
      <c r="I1441">
        <v>10025</v>
      </c>
      <c r="J1441">
        <v>6229</v>
      </c>
      <c r="K1441">
        <v>0.9932201232172011</v>
      </c>
      <c r="L1441">
        <f t="shared" ca="1" si="144"/>
        <v>235.49960899999999</v>
      </c>
      <c r="M1441">
        <f t="shared" si="144"/>
        <v>238.60646400000002</v>
      </c>
      <c r="N1441">
        <v>6229</v>
      </c>
      <c r="O1441">
        <f t="shared" ca="1" si="139"/>
        <v>0.98697916666666652</v>
      </c>
    </row>
    <row r="1442" spans="1:15" x14ac:dyDescent="0.2">
      <c r="A1442" t="str">
        <f ca="1">IFERROR(__xludf.DUMMYFUNCTION("""COMPUTED_VALUE"""),"mi")</f>
        <v>mi</v>
      </c>
      <c r="B1442" t="str">
        <f ca="1">IFERROR(__xludf.DUMMYFUNCTION("""COMPUTED_VALUE"""),"Model 3 P")</f>
        <v>Model 3 P</v>
      </c>
      <c r="C1442">
        <f ca="1">IFERROR(__xludf.DUMMYFUNCTION("""COMPUTED_VALUE"""),310)</f>
        <v>310</v>
      </c>
      <c r="D1442">
        <f ca="1">IFERROR(__xludf.DUMMYFUNCTION("""COMPUTED_VALUE"""),8500)</f>
        <v>8500</v>
      </c>
      <c r="E1442">
        <f ca="1">IFERROR(__xludf.DUMMYFUNCTION("""COMPUTED_VALUE"""),306)</f>
        <v>306</v>
      </c>
      <c r="F1442">
        <v>310</v>
      </c>
      <c r="G1442">
        <v>0.98709677419354835</v>
      </c>
      <c r="H1442">
        <v>8500</v>
      </c>
      <c r="I1442">
        <v>13679</v>
      </c>
      <c r="J1442">
        <v>8500</v>
      </c>
      <c r="K1442">
        <v>0.99079406046132767</v>
      </c>
      <c r="L1442">
        <f ca="1">IFERROR(__xludf.DUMMYFUNCTION("""COMPUTED_VALUE"""),306)</f>
        <v>306</v>
      </c>
      <c r="M1442">
        <v>310</v>
      </c>
      <c r="N1442">
        <v>8500</v>
      </c>
      <c r="O1442">
        <f t="shared" ca="1" si="139"/>
        <v>0.98709677419354835</v>
      </c>
    </row>
    <row r="1443" spans="1:15" x14ac:dyDescent="0.2">
      <c r="A1443" t="str">
        <f ca="1">IFERROR(__xludf.DUMMYFUNCTION("""COMPUTED_VALUE"""),"km")</f>
        <v>km</v>
      </c>
      <c r="B1443" t="str">
        <f ca="1">IFERROR(__xludf.DUMMYFUNCTION("""COMPUTED_VALUE"""),"Model S 85")</f>
        <v>Model S 85</v>
      </c>
      <c r="D1443">
        <f ca="1">IFERROR(__xludf.DUMMYFUNCTION("""COMPUTED_VALUE"""),17000)</f>
        <v>17000</v>
      </c>
      <c r="E1443">
        <f ca="1">IFERROR(__xludf.DUMMYFUNCTION("""COMPUTED_VALUE"""),390)</f>
        <v>390</v>
      </c>
      <c r="F1443">
        <v>395</v>
      </c>
      <c r="G1443">
        <v>0.98734177215189878</v>
      </c>
      <c r="H1443">
        <v>10563</v>
      </c>
      <c r="I1443">
        <v>17000</v>
      </c>
      <c r="J1443">
        <v>10563</v>
      </c>
      <c r="K1443">
        <v>0.98861014013661519</v>
      </c>
      <c r="L1443">
        <f t="shared" ref="L1443:M1445" ca="1" si="145">E1443*0.621371</f>
        <v>242.33468999999999</v>
      </c>
      <c r="M1443">
        <f t="shared" si="145"/>
        <v>245.44154499999999</v>
      </c>
      <c r="N1443">
        <v>10563</v>
      </c>
      <c r="O1443">
        <f t="shared" ca="1" si="139"/>
        <v>0.98734177215189878</v>
      </c>
    </row>
    <row r="1444" spans="1:15" x14ac:dyDescent="0.2">
      <c r="A1444" t="str">
        <f ca="1">IFERROR(__xludf.DUMMYFUNCTION("""COMPUTED_VALUE"""),"km")</f>
        <v>km</v>
      </c>
      <c r="B1444" t="str">
        <f ca="1">IFERROR(__xludf.DUMMYFUNCTION("""COMPUTED_VALUE"""),"Model S P85+")</f>
        <v>Model S P85+</v>
      </c>
      <c r="D1444">
        <f ca="1">IFERROR(__xludf.DUMMYFUNCTION("""COMPUTED_VALUE"""),50000)</f>
        <v>50000</v>
      </c>
      <c r="E1444">
        <f ca="1">IFERROR(__xludf.DUMMYFUNCTION("""COMPUTED_VALUE"""),390)</f>
        <v>390</v>
      </c>
      <c r="F1444">
        <v>395</v>
      </c>
      <c r="G1444">
        <v>0.98734177215189878</v>
      </c>
      <c r="H1444">
        <v>31069</v>
      </c>
      <c r="I1444">
        <v>50000</v>
      </c>
      <c r="J1444">
        <v>31069</v>
      </c>
      <c r="K1444">
        <v>0.96801478944655506</v>
      </c>
      <c r="L1444">
        <f t="shared" ca="1" si="145"/>
        <v>242.33468999999999</v>
      </c>
      <c r="M1444">
        <f t="shared" si="145"/>
        <v>245.44154499999999</v>
      </c>
      <c r="N1444">
        <v>31069</v>
      </c>
      <c r="O1444">
        <f t="shared" ca="1" si="139"/>
        <v>0.98734177215189878</v>
      </c>
    </row>
    <row r="1445" spans="1:15" x14ac:dyDescent="0.2">
      <c r="A1445" t="str">
        <f ca="1">IFERROR(__xludf.DUMMYFUNCTION("""COMPUTED_VALUE"""),"km")</f>
        <v>km</v>
      </c>
      <c r="B1445" t="str">
        <f ca="1">IFERROR(__xludf.DUMMYFUNCTION("""COMPUTED_VALUE"""),"Model X 90D")</f>
        <v>Model X 90D</v>
      </c>
      <c r="C1445">
        <f ca="1">IFERROR(__xludf.DUMMYFUNCTION("""COMPUTED_VALUE"""),395)</f>
        <v>395</v>
      </c>
      <c r="D1445">
        <f ca="1">IFERROR(__xludf.DUMMYFUNCTION("""COMPUTED_VALUE"""),100)</f>
        <v>100</v>
      </c>
      <c r="E1445">
        <f ca="1">IFERROR(__xludf.DUMMYFUNCTION("""COMPUTED_VALUE"""),395)</f>
        <v>395</v>
      </c>
      <c r="F1445">
        <v>400</v>
      </c>
      <c r="G1445">
        <v>0.98750000000000004</v>
      </c>
      <c r="H1445">
        <v>62</v>
      </c>
      <c r="I1445">
        <v>100</v>
      </c>
      <c r="J1445">
        <v>62</v>
      </c>
      <c r="K1445">
        <v>0.99993147884146683</v>
      </c>
      <c r="L1445">
        <f t="shared" ca="1" si="145"/>
        <v>245.44154499999999</v>
      </c>
      <c r="M1445">
        <f t="shared" si="145"/>
        <v>248.54840000000002</v>
      </c>
      <c r="N1445">
        <v>62</v>
      </c>
      <c r="O1445">
        <f t="shared" ca="1" si="139"/>
        <v>0.98749999999999993</v>
      </c>
    </row>
    <row r="1446" spans="1:15" x14ac:dyDescent="0.2">
      <c r="A1446" t="str">
        <f ca="1">IFERROR(__xludf.DUMMYFUNCTION("""COMPUTED_VALUE"""),"mi")</f>
        <v>mi</v>
      </c>
      <c r="B1446" t="str">
        <f ca="1">IFERROR(__xludf.DUMMYFUNCTION("""COMPUTED_VALUE"""),"Model 3 SR+")</f>
        <v>Model 3 SR+</v>
      </c>
      <c r="C1446">
        <f ca="1">IFERROR(__xludf.DUMMYFUNCTION("""COMPUTED_VALUE"""),240)</f>
        <v>240</v>
      </c>
      <c r="D1446">
        <f ca="1">IFERROR(__xludf.DUMMYFUNCTION("""COMPUTED_VALUE"""),1700)</f>
        <v>1700</v>
      </c>
      <c r="E1446">
        <f ca="1">IFERROR(__xludf.DUMMYFUNCTION("""COMPUTED_VALUE"""),237)</f>
        <v>237</v>
      </c>
      <c r="F1446">
        <v>240</v>
      </c>
      <c r="G1446">
        <v>0.98750000000000004</v>
      </c>
      <c r="H1446">
        <v>1700</v>
      </c>
      <c r="I1446">
        <v>2736</v>
      </c>
      <c r="J1446">
        <v>1700</v>
      </c>
      <c r="K1446">
        <v>0.99813172115170479</v>
      </c>
      <c r="L1446">
        <f ca="1">IFERROR(__xludf.DUMMYFUNCTION("""COMPUTED_VALUE"""),237)</f>
        <v>237</v>
      </c>
      <c r="M1446">
        <v>240</v>
      </c>
      <c r="N1446">
        <v>1700</v>
      </c>
      <c r="O1446">
        <f t="shared" ca="1" si="139"/>
        <v>0.98750000000000004</v>
      </c>
    </row>
    <row r="1447" spans="1:15" x14ac:dyDescent="0.2">
      <c r="A1447" t="str">
        <f ca="1">IFERROR(__xludf.DUMMYFUNCTION("""COMPUTED_VALUE"""),"mi")</f>
        <v>mi</v>
      </c>
      <c r="B1447" t="str">
        <f ca="1">IFERROR(__xludf.DUMMYFUNCTION("""COMPUTED_VALUE"""),"Model S 70D")</f>
        <v>Model S 70D</v>
      </c>
      <c r="C1447">
        <f ca="1">IFERROR(__xludf.DUMMYFUNCTION("""COMPUTED_VALUE"""),240)</f>
        <v>240</v>
      </c>
      <c r="D1447">
        <f ca="1">IFERROR(__xludf.DUMMYFUNCTION("""COMPUTED_VALUE"""),4674)</f>
        <v>4674</v>
      </c>
      <c r="E1447">
        <f ca="1">IFERROR(__xludf.DUMMYFUNCTION("""COMPUTED_VALUE"""),237)</f>
        <v>237</v>
      </c>
      <c r="F1447">
        <v>240</v>
      </c>
      <c r="G1447">
        <v>0.98750000000000004</v>
      </c>
      <c r="H1447">
        <v>4674</v>
      </c>
      <c r="I1447">
        <v>7522</v>
      </c>
      <c r="J1447">
        <v>4674</v>
      </c>
      <c r="K1447">
        <v>0.99489593594524428</v>
      </c>
      <c r="L1447">
        <f ca="1">IFERROR(__xludf.DUMMYFUNCTION("""COMPUTED_VALUE"""),237)</f>
        <v>237</v>
      </c>
      <c r="M1447">
        <v>240</v>
      </c>
      <c r="N1447">
        <v>4674</v>
      </c>
      <c r="O1447">
        <f t="shared" ca="1" si="139"/>
        <v>0.98750000000000004</v>
      </c>
    </row>
    <row r="1448" spans="1:15" x14ac:dyDescent="0.2">
      <c r="A1448" t="str">
        <f ca="1">IFERROR(__xludf.DUMMYFUNCTION("""COMPUTED_VALUE"""),"mi")</f>
        <v>mi</v>
      </c>
      <c r="B1448" t="str">
        <f ca="1">IFERROR(__xludf.DUMMYFUNCTION("""COMPUTED_VALUE"""),"Model S 90D")</f>
        <v>Model S 90D</v>
      </c>
      <c r="C1448">
        <f ca="1">IFERROR(__xludf.DUMMYFUNCTION("""COMPUTED_VALUE"""),295)</f>
        <v>295</v>
      </c>
      <c r="D1448">
        <f ca="1">IFERROR(__xludf.DUMMYFUNCTION("""COMPUTED_VALUE"""),25604)</f>
        <v>25604</v>
      </c>
      <c r="E1448">
        <f ca="1">IFERROR(__xludf.DUMMYFUNCTION("""COMPUTED_VALUE"""),288.4)</f>
        <v>288.39999999999998</v>
      </c>
      <c r="F1448">
        <v>292</v>
      </c>
      <c r="G1448">
        <v>0.98767123287671221</v>
      </c>
      <c r="H1448">
        <v>25604</v>
      </c>
      <c r="I1448">
        <v>41206</v>
      </c>
      <c r="J1448">
        <v>25604</v>
      </c>
      <c r="K1448">
        <v>0.97330470461783936</v>
      </c>
      <c r="L1448">
        <f ca="1">IFERROR(__xludf.DUMMYFUNCTION("""COMPUTED_VALUE"""),288.4)</f>
        <v>288.39999999999998</v>
      </c>
      <c r="M1448">
        <v>292</v>
      </c>
      <c r="N1448">
        <v>25604</v>
      </c>
      <c r="O1448">
        <f t="shared" ca="1" si="139"/>
        <v>0.98767123287671221</v>
      </c>
    </row>
    <row r="1449" spans="1:15" x14ac:dyDescent="0.2">
      <c r="A1449" t="str">
        <f ca="1">IFERROR(__xludf.DUMMYFUNCTION("""COMPUTED_VALUE"""),"mi")</f>
        <v>mi</v>
      </c>
      <c r="B1449" t="str">
        <f ca="1">IFERROR(__xludf.DUMMYFUNCTION("""COMPUTED_VALUE"""),"Model S 85")</f>
        <v>Model S 85</v>
      </c>
      <c r="D1449">
        <f ca="1">IFERROR(__xludf.DUMMYFUNCTION("""COMPUTED_VALUE"""),16800)</f>
        <v>16800</v>
      </c>
      <c r="E1449">
        <f ca="1">IFERROR(__xludf.DUMMYFUNCTION("""COMPUTED_VALUE"""),242)</f>
        <v>242</v>
      </c>
      <c r="F1449">
        <v>245</v>
      </c>
      <c r="G1449">
        <v>0.98775510204081629</v>
      </c>
      <c r="H1449">
        <v>16800</v>
      </c>
      <c r="I1449">
        <v>27037</v>
      </c>
      <c r="J1449">
        <v>16800</v>
      </c>
      <c r="K1449">
        <v>0.98213233053906335</v>
      </c>
      <c r="L1449">
        <f ca="1">IFERROR(__xludf.DUMMYFUNCTION("""COMPUTED_VALUE"""),242)</f>
        <v>242</v>
      </c>
      <c r="M1449">
        <v>245</v>
      </c>
      <c r="N1449">
        <v>16800</v>
      </c>
      <c r="O1449">
        <f t="shared" ca="1" si="139"/>
        <v>0.98775510204081629</v>
      </c>
    </row>
    <row r="1450" spans="1:15" x14ac:dyDescent="0.2">
      <c r="A1450" t="str">
        <f ca="1">IFERROR(__xludf.DUMMYFUNCTION("""COMPUTED_VALUE"""),"km")</f>
        <v>km</v>
      </c>
      <c r="B1450" t="str">
        <f ca="1">IFERROR(__xludf.DUMMYFUNCTION("""COMPUTED_VALUE"""),"Model X 75D")</f>
        <v>Model X 75D</v>
      </c>
      <c r="C1450">
        <f ca="1">IFERROR(__xludf.DUMMYFUNCTION("""COMPUTED_VALUE"""),334)</f>
        <v>334</v>
      </c>
      <c r="D1450">
        <f ca="1">IFERROR(__xludf.DUMMYFUNCTION("""COMPUTED_VALUE"""),21913)</f>
        <v>21913</v>
      </c>
      <c r="E1450">
        <f ca="1">IFERROR(__xludf.DUMMYFUNCTION("""COMPUTED_VALUE"""),325)</f>
        <v>325</v>
      </c>
      <c r="F1450">
        <v>329</v>
      </c>
      <c r="G1450">
        <v>0.9878419452887538</v>
      </c>
      <c r="H1450">
        <v>13616</v>
      </c>
      <c r="I1450">
        <v>21913</v>
      </c>
      <c r="J1450">
        <v>13616</v>
      </c>
      <c r="K1450">
        <v>0.98541623001915524</v>
      </c>
      <c r="L1450">
        <f t="shared" ref="L1450:M1454" ca="1" si="146">E1450*0.621371</f>
        <v>201.94557499999999</v>
      </c>
      <c r="M1450">
        <f t="shared" si="146"/>
        <v>204.431059</v>
      </c>
      <c r="N1450">
        <v>13616</v>
      </c>
      <c r="O1450">
        <f t="shared" ca="1" si="139"/>
        <v>0.98784194528875369</v>
      </c>
    </row>
    <row r="1451" spans="1:15" x14ac:dyDescent="0.2">
      <c r="A1451" t="str">
        <f ca="1">IFERROR(__xludf.DUMMYFUNCTION("""COMPUTED_VALUE"""),"km")</f>
        <v>km</v>
      </c>
      <c r="B1451" t="str">
        <f ca="1">IFERROR(__xludf.DUMMYFUNCTION("""COMPUTED_VALUE"""),"Model 3 P")</f>
        <v>Model 3 P</v>
      </c>
      <c r="C1451">
        <f ca="1">IFERROR(__xludf.DUMMYFUNCTION("""COMPUTED_VALUE"""),499)</f>
        <v>499</v>
      </c>
      <c r="D1451">
        <f ca="1">IFERROR(__xludf.DUMMYFUNCTION("""COMPUTED_VALUE"""),7000)</f>
        <v>7000</v>
      </c>
      <c r="E1451">
        <f ca="1">IFERROR(__xludf.DUMMYFUNCTION("""COMPUTED_VALUE"""),493)</f>
        <v>493</v>
      </c>
      <c r="F1451">
        <v>499</v>
      </c>
      <c r="G1451">
        <v>0.9879759519038076</v>
      </c>
      <c r="H1451">
        <v>4350</v>
      </c>
      <c r="I1451">
        <v>7000</v>
      </c>
      <c r="J1451">
        <v>4350</v>
      </c>
      <c r="K1451">
        <v>0.99524685231695964</v>
      </c>
      <c r="L1451">
        <f t="shared" ca="1" si="146"/>
        <v>306.33590300000003</v>
      </c>
      <c r="M1451">
        <f t="shared" si="146"/>
        <v>310.06412899999998</v>
      </c>
      <c r="N1451">
        <v>4350</v>
      </c>
      <c r="O1451">
        <f t="shared" ca="1" si="139"/>
        <v>0.98797595190380783</v>
      </c>
    </row>
    <row r="1452" spans="1:15" x14ac:dyDescent="0.2">
      <c r="A1452" t="str">
        <f ca="1">IFERROR(__xludf.DUMMYFUNCTION("""COMPUTED_VALUE"""),"km")</f>
        <v>km</v>
      </c>
      <c r="B1452" t="str">
        <f ca="1">IFERROR(__xludf.DUMMYFUNCTION("""COMPUTED_VALUE"""),"Model 3 LR AWD")</f>
        <v>Model 3 LR AWD</v>
      </c>
      <c r="C1452">
        <f ca="1">IFERROR(__xludf.DUMMYFUNCTION("""COMPUTED_VALUE"""),508)</f>
        <v>508</v>
      </c>
      <c r="D1452">
        <f ca="1">IFERROR(__xludf.DUMMYFUNCTION("""COMPUTED_VALUE"""),8135)</f>
        <v>8135</v>
      </c>
      <c r="E1452">
        <f ca="1">IFERROR(__xludf.DUMMYFUNCTION("""COMPUTED_VALUE"""),493)</f>
        <v>493</v>
      </c>
      <c r="F1452">
        <v>499</v>
      </c>
      <c r="G1452">
        <v>0.9879759519038076</v>
      </c>
      <c r="H1452">
        <v>5055</v>
      </c>
      <c r="I1452">
        <v>8135</v>
      </c>
      <c r="J1452">
        <v>5055</v>
      </c>
      <c r="K1452">
        <v>0.99448447239402693</v>
      </c>
      <c r="L1452">
        <f t="shared" ca="1" si="146"/>
        <v>306.33590300000003</v>
      </c>
      <c r="M1452">
        <f t="shared" si="146"/>
        <v>310.06412899999998</v>
      </c>
      <c r="N1452">
        <v>5055</v>
      </c>
      <c r="O1452">
        <f t="shared" ca="1" si="139"/>
        <v>0.98797595190380783</v>
      </c>
    </row>
    <row r="1453" spans="1:15" x14ac:dyDescent="0.2">
      <c r="A1453" t="str">
        <f ca="1">IFERROR(__xludf.DUMMYFUNCTION("""COMPUTED_VALUE"""),"km")</f>
        <v>km</v>
      </c>
      <c r="B1453" t="str">
        <f ca="1">IFERROR(__xludf.DUMMYFUNCTION("""COMPUTED_VALUE"""),"Model 3 LR AWD")</f>
        <v>Model 3 LR AWD</v>
      </c>
      <c r="C1453">
        <f ca="1">IFERROR(__xludf.DUMMYFUNCTION("""COMPUTED_VALUE"""),498)</f>
        <v>498</v>
      </c>
      <c r="D1453">
        <f ca="1">IFERROR(__xludf.DUMMYFUNCTION("""COMPUTED_VALUE"""),10500)</f>
        <v>10500</v>
      </c>
      <c r="E1453">
        <f ca="1">IFERROR(__xludf.DUMMYFUNCTION("""COMPUTED_VALUE"""),493)</f>
        <v>493</v>
      </c>
      <c r="F1453">
        <v>499</v>
      </c>
      <c r="G1453">
        <v>0.9879759519038076</v>
      </c>
      <c r="H1453">
        <v>6524</v>
      </c>
      <c r="I1453">
        <v>10500</v>
      </c>
      <c r="J1453">
        <v>6524</v>
      </c>
      <c r="K1453">
        <v>0.99290337961963893</v>
      </c>
      <c r="L1453">
        <f t="shared" ca="1" si="146"/>
        <v>306.33590300000003</v>
      </c>
      <c r="M1453">
        <f t="shared" si="146"/>
        <v>310.06412899999998</v>
      </c>
      <c r="N1453">
        <v>6524</v>
      </c>
      <c r="O1453">
        <f t="shared" ca="1" si="139"/>
        <v>0.98797595190380783</v>
      </c>
    </row>
    <row r="1454" spans="1:15" x14ac:dyDescent="0.2">
      <c r="A1454" t="str">
        <f ca="1">IFERROR(__xludf.DUMMYFUNCTION("""COMPUTED_VALUE"""),"km")</f>
        <v>km</v>
      </c>
      <c r="B1454" t="str">
        <f ca="1">IFERROR(__xludf.DUMMYFUNCTION("""COMPUTED_VALUE"""),"Model 3 LR AWD")</f>
        <v>Model 3 LR AWD</v>
      </c>
      <c r="D1454">
        <f ca="1">IFERROR(__xludf.DUMMYFUNCTION("""COMPUTED_VALUE"""),5900)</f>
        <v>5900</v>
      </c>
      <c r="E1454">
        <f ca="1">IFERROR(__xludf.DUMMYFUNCTION("""COMPUTED_VALUE"""),493)</f>
        <v>493</v>
      </c>
      <c r="F1454">
        <v>499</v>
      </c>
      <c r="G1454">
        <v>0.9879759519038076</v>
      </c>
      <c r="H1454">
        <v>3666</v>
      </c>
      <c r="I1454">
        <v>5900</v>
      </c>
      <c r="J1454">
        <v>3666</v>
      </c>
      <c r="K1454">
        <v>0.99598794008373814</v>
      </c>
      <c r="L1454">
        <f t="shared" ca="1" si="146"/>
        <v>306.33590300000003</v>
      </c>
      <c r="M1454">
        <f t="shared" si="146"/>
        <v>310.06412899999998</v>
      </c>
      <c r="N1454">
        <v>3666</v>
      </c>
      <c r="O1454">
        <f t="shared" ca="1" si="139"/>
        <v>0.98797595190380783</v>
      </c>
    </row>
    <row r="1455" spans="1:15" x14ac:dyDescent="0.2">
      <c r="A1455" t="str">
        <f ca="1">IFERROR(__xludf.DUMMYFUNCTION("""COMPUTED_VALUE"""),"mi")</f>
        <v>mi</v>
      </c>
      <c r="B1455" t="str">
        <f ca="1">IFERROR(__xludf.DUMMYFUNCTION("""COMPUTED_VALUE"""),"Model S P85D")</f>
        <v>Model S P85D</v>
      </c>
      <c r="C1455">
        <f ca="1">IFERROR(__xludf.DUMMYFUNCTION("""COMPUTED_VALUE"""),256)</f>
        <v>256</v>
      </c>
      <c r="D1455">
        <f ca="1">IFERROR(__xludf.DUMMYFUNCTION("""COMPUTED_VALUE"""),17805)</f>
        <v>17805</v>
      </c>
      <c r="E1455">
        <f ca="1">IFERROR(__xludf.DUMMYFUNCTION("""COMPUTED_VALUE"""),250)</f>
        <v>250</v>
      </c>
      <c r="F1455">
        <v>253</v>
      </c>
      <c r="G1455">
        <v>0.98814229249011853</v>
      </c>
      <c r="H1455">
        <v>17805</v>
      </c>
      <c r="I1455">
        <v>28654</v>
      </c>
      <c r="J1455">
        <v>17805</v>
      </c>
      <c r="K1455">
        <v>0.98110606179024862</v>
      </c>
      <c r="L1455">
        <f ca="1">IFERROR(__xludf.DUMMYFUNCTION("""COMPUTED_VALUE"""),250)</f>
        <v>250</v>
      </c>
      <c r="M1455">
        <v>253</v>
      </c>
      <c r="N1455">
        <v>17805</v>
      </c>
      <c r="O1455">
        <f t="shared" ca="1" si="139"/>
        <v>0.98814229249011853</v>
      </c>
    </row>
    <row r="1456" spans="1:15" x14ac:dyDescent="0.2">
      <c r="A1456" t="str">
        <f ca="1">IFERROR(__xludf.DUMMYFUNCTION("""COMPUTED_VALUE"""),"km")</f>
        <v>km</v>
      </c>
      <c r="B1456" t="str">
        <f ca="1">IFERROR(__xludf.DUMMYFUNCTION("""COMPUTED_VALUE"""),"Model S 100D")</f>
        <v>Model S 100D</v>
      </c>
      <c r="C1456">
        <f ca="1">IFERROR(__xludf.DUMMYFUNCTION("""COMPUTED_VALUE"""),504)</f>
        <v>504</v>
      </c>
      <c r="D1456">
        <f ca="1">IFERROR(__xludf.DUMMYFUNCTION("""COMPUTED_VALUE"""),15)</f>
        <v>15</v>
      </c>
      <c r="E1456">
        <f ca="1">IFERROR(__xludf.DUMMYFUNCTION("""COMPUTED_VALUE"""),504)</f>
        <v>504</v>
      </c>
      <c r="F1456">
        <v>510</v>
      </c>
      <c r="G1456">
        <v>0.9882352941176471</v>
      </c>
      <c r="H1456">
        <v>9</v>
      </c>
      <c r="I1456">
        <v>15</v>
      </c>
      <c r="J1456">
        <v>9</v>
      </c>
      <c r="K1456">
        <v>0.99998972068534742</v>
      </c>
      <c r="L1456">
        <f t="shared" ref="L1456:M1459" ca="1" si="147">E1456*0.621371</f>
        <v>313.17098399999998</v>
      </c>
      <c r="M1456">
        <f t="shared" si="147"/>
        <v>316.89920999999998</v>
      </c>
      <c r="N1456">
        <v>9</v>
      </c>
      <c r="O1456">
        <f t="shared" ca="1" si="139"/>
        <v>0.98823529411764699</v>
      </c>
    </row>
    <row r="1457" spans="1:15" x14ac:dyDescent="0.2">
      <c r="A1457" t="str">
        <f ca="1">IFERROR(__xludf.DUMMYFUNCTION("""COMPUTED_VALUE"""),"km")</f>
        <v>km</v>
      </c>
      <c r="B1457" t="str">
        <f ca="1">IFERROR(__xludf.DUMMYFUNCTION("""COMPUTED_VALUE"""),"Model S 85D")</f>
        <v>Model S 85D</v>
      </c>
      <c r="D1457">
        <f ca="1">IFERROR(__xludf.DUMMYFUNCTION("""COMPUTED_VALUE"""),47834)</f>
        <v>47834</v>
      </c>
      <c r="E1457">
        <f ca="1">IFERROR(__xludf.DUMMYFUNCTION("""COMPUTED_VALUE"""),420)</f>
        <v>420</v>
      </c>
      <c r="F1457">
        <v>425</v>
      </c>
      <c r="G1457">
        <v>0.9882352941176471</v>
      </c>
      <c r="H1457">
        <v>29723</v>
      </c>
      <c r="I1457">
        <v>47834</v>
      </c>
      <c r="J1457">
        <v>29723</v>
      </c>
      <c r="K1457">
        <v>0.96930417880782704</v>
      </c>
      <c r="L1457">
        <f t="shared" ca="1" si="147"/>
        <v>260.97582</v>
      </c>
      <c r="M1457">
        <f t="shared" si="147"/>
        <v>264.08267499999999</v>
      </c>
      <c r="N1457">
        <v>29723</v>
      </c>
      <c r="O1457">
        <f t="shared" ca="1" si="139"/>
        <v>0.9882352941176471</v>
      </c>
    </row>
    <row r="1458" spans="1:15" x14ac:dyDescent="0.2">
      <c r="A1458" t="str">
        <f ca="1">IFERROR(__xludf.DUMMYFUNCTION("""COMPUTED_VALUE"""),"km")</f>
        <v>km</v>
      </c>
      <c r="B1458" t="str">
        <f ca="1">IFERROR(__xludf.DUMMYFUNCTION("""COMPUTED_VALUE"""),"Model S 85D")</f>
        <v>Model S 85D</v>
      </c>
      <c r="D1458">
        <f ca="1">IFERROR(__xludf.DUMMYFUNCTION("""COMPUTED_VALUE"""),17500)</f>
        <v>17500</v>
      </c>
      <c r="E1458">
        <f ca="1">IFERROR(__xludf.DUMMYFUNCTION("""COMPUTED_VALUE"""),420)</f>
        <v>420</v>
      </c>
      <c r="F1458">
        <v>425</v>
      </c>
      <c r="G1458">
        <v>0.9882352941176471</v>
      </c>
      <c r="H1458">
        <v>10874</v>
      </c>
      <c r="I1458">
        <v>17500</v>
      </c>
      <c r="J1458">
        <v>10874</v>
      </c>
      <c r="K1458">
        <v>0.98828307641090296</v>
      </c>
      <c r="L1458">
        <f t="shared" ca="1" si="147"/>
        <v>260.97582</v>
      </c>
      <c r="M1458">
        <f t="shared" si="147"/>
        <v>264.08267499999999</v>
      </c>
      <c r="N1458">
        <v>10874</v>
      </c>
      <c r="O1458">
        <f t="shared" ca="1" si="139"/>
        <v>0.9882352941176471</v>
      </c>
    </row>
    <row r="1459" spans="1:15" x14ac:dyDescent="0.2">
      <c r="A1459" t="str">
        <f ca="1">IFERROR(__xludf.DUMMYFUNCTION("""COMPUTED_VALUE"""),"km")</f>
        <v>km</v>
      </c>
      <c r="B1459" t="str">
        <f ca="1">IFERROR(__xludf.DUMMYFUNCTION("""COMPUTED_VALUE"""),"Model S 85D")</f>
        <v>Model S 85D</v>
      </c>
      <c r="C1459">
        <f ca="1">IFERROR(__xludf.DUMMYFUNCTION("""COMPUTED_VALUE"""),420)</f>
        <v>420</v>
      </c>
      <c r="D1459">
        <f ca="1">IFERROR(__xludf.DUMMYFUNCTION("""COMPUTED_VALUE"""),12)</f>
        <v>12</v>
      </c>
      <c r="E1459">
        <f ca="1">IFERROR(__xludf.DUMMYFUNCTION("""COMPUTED_VALUE"""),420)</f>
        <v>420</v>
      </c>
      <c r="F1459">
        <v>425</v>
      </c>
      <c r="G1459">
        <v>0.9882352941176471</v>
      </c>
      <c r="H1459">
        <v>7</v>
      </c>
      <c r="I1459">
        <v>12</v>
      </c>
      <c r="J1459">
        <v>7</v>
      </c>
      <c r="K1459">
        <v>0.99999177651606608</v>
      </c>
      <c r="L1459">
        <f t="shared" ca="1" si="147"/>
        <v>260.97582</v>
      </c>
      <c r="M1459">
        <f t="shared" si="147"/>
        <v>264.08267499999999</v>
      </c>
      <c r="N1459">
        <v>7</v>
      </c>
      <c r="O1459">
        <f t="shared" ca="1" si="139"/>
        <v>0.9882352941176471</v>
      </c>
    </row>
    <row r="1460" spans="1:15" x14ac:dyDescent="0.2">
      <c r="A1460" t="str">
        <f ca="1">IFERROR(__xludf.DUMMYFUNCTION("""COMPUTED_VALUE"""),"mi")</f>
        <v>mi</v>
      </c>
      <c r="B1460" t="str">
        <f ca="1">IFERROR(__xludf.DUMMYFUNCTION("""COMPUTED_VALUE"""),"Model S 75D")</f>
        <v>Model S 75D</v>
      </c>
      <c r="C1460">
        <f ca="1">IFERROR(__xludf.DUMMYFUNCTION("""COMPUTED_VALUE"""),259)</f>
        <v>259</v>
      </c>
      <c r="D1460">
        <f ca="1">IFERROR(__xludf.DUMMYFUNCTION("""COMPUTED_VALUE"""),5451)</f>
        <v>5451</v>
      </c>
      <c r="E1460">
        <f ca="1">IFERROR(__xludf.DUMMYFUNCTION("""COMPUTED_VALUE"""),256)</f>
        <v>256</v>
      </c>
      <c r="F1460">
        <v>259</v>
      </c>
      <c r="G1460">
        <v>0.98841698841698844</v>
      </c>
      <c r="H1460">
        <v>5451</v>
      </c>
      <c r="I1460">
        <v>8773</v>
      </c>
      <c r="J1460">
        <v>5451</v>
      </c>
      <c r="K1460">
        <v>0.99405694888837526</v>
      </c>
      <c r="L1460">
        <f ca="1">IFERROR(__xludf.DUMMYFUNCTION("""COMPUTED_VALUE"""),256)</f>
        <v>256</v>
      </c>
      <c r="M1460">
        <v>259</v>
      </c>
      <c r="N1460">
        <v>5451</v>
      </c>
      <c r="O1460">
        <f t="shared" ca="1" si="139"/>
        <v>0.98841698841698844</v>
      </c>
    </row>
    <row r="1461" spans="1:15" x14ac:dyDescent="0.2">
      <c r="A1461" t="str">
        <f ca="1">IFERROR(__xludf.DUMMYFUNCTION("""COMPUTED_VALUE"""),"mi")</f>
        <v>mi</v>
      </c>
      <c r="B1461" t="str">
        <f ca="1">IFERROR(__xludf.DUMMYFUNCTION("""COMPUTED_VALUE"""),"Model S 75D")</f>
        <v>Model S 75D</v>
      </c>
      <c r="D1461">
        <f ca="1">IFERROR(__xludf.DUMMYFUNCTION("""COMPUTED_VALUE"""),18827)</f>
        <v>18827</v>
      </c>
      <c r="E1461">
        <f ca="1">IFERROR(__xludf.DUMMYFUNCTION("""COMPUTED_VALUE"""),256)</f>
        <v>256</v>
      </c>
      <c r="F1461">
        <v>259</v>
      </c>
      <c r="G1461">
        <v>0.98841698841698844</v>
      </c>
      <c r="H1461">
        <v>18827</v>
      </c>
      <c r="I1461">
        <v>30299</v>
      </c>
      <c r="J1461">
        <v>18827</v>
      </c>
      <c r="K1461">
        <v>0.98006698226117805</v>
      </c>
      <c r="L1461">
        <f ca="1">IFERROR(__xludf.DUMMYFUNCTION("""COMPUTED_VALUE"""),256)</f>
        <v>256</v>
      </c>
      <c r="M1461">
        <v>259</v>
      </c>
      <c r="N1461">
        <v>18827</v>
      </c>
      <c r="O1461">
        <f t="shared" ca="1" si="139"/>
        <v>0.98841698841698844</v>
      </c>
    </row>
    <row r="1462" spans="1:15" x14ac:dyDescent="0.2">
      <c r="A1462" t="str">
        <f ca="1">IFERROR(__xludf.DUMMYFUNCTION("""COMPUTED_VALUE"""),"km")</f>
        <v>km</v>
      </c>
      <c r="B1462" t="str">
        <f ca="1">IFERROR(__xludf.DUMMYFUNCTION("""COMPUTED_VALUE"""),"Model S 85D")</f>
        <v>Model S 85D</v>
      </c>
      <c r="C1462">
        <f ca="1">IFERROR(__xludf.DUMMYFUNCTION("""COMPUTED_VALUE"""),436)</f>
        <v>436</v>
      </c>
      <c r="D1462">
        <f ca="1">IFERROR(__xludf.DUMMYFUNCTION("""COMPUTED_VALUE"""),27000)</f>
        <v>27000</v>
      </c>
      <c r="E1462">
        <f ca="1">IFERROR(__xludf.DUMMYFUNCTION("""COMPUTED_VALUE"""),430)</f>
        <v>430</v>
      </c>
      <c r="F1462">
        <v>435</v>
      </c>
      <c r="G1462">
        <v>0.9885057471264368</v>
      </c>
      <c r="H1462">
        <v>16777</v>
      </c>
      <c r="I1462">
        <v>27000</v>
      </c>
      <c r="J1462">
        <v>16777</v>
      </c>
      <c r="K1462">
        <v>0.98215586999584537</v>
      </c>
      <c r="L1462">
        <f ca="1">E1462*0.621371</f>
        <v>267.18952999999999</v>
      </c>
      <c r="M1462">
        <f>F1462*0.621371</f>
        <v>270.29638499999999</v>
      </c>
      <c r="N1462">
        <v>16777</v>
      </c>
      <c r="O1462">
        <f t="shared" ca="1" si="139"/>
        <v>0.9885057471264368</v>
      </c>
    </row>
    <row r="1463" spans="1:15" x14ac:dyDescent="0.2">
      <c r="A1463" t="str">
        <f ca="1">IFERROR(__xludf.DUMMYFUNCTION("""COMPUTED_VALUE"""),"mi")</f>
        <v>mi</v>
      </c>
      <c r="B1463" t="str">
        <f ca="1">IFERROR(__xludf.DUMMYFUNCTION("""COMPUTED_VALUE"""),"Model S 85")</f>
        <v>Model S 85</v>
      </c>
      <c r="C1463">
        <f ca="1">IFERROR(__xludf.DUMMYFUNCTION("""COMPUTED_VALUE"""),267)</f>
        <v>267</v>
      </c>
      <c r="D1463">
        <f ca="1">IFERROR(__xludf.DUMMYFUNCTION("""COMPUTED_VALUE"""),35339)</f>
        <v>35339</v>
      </c>
      <c r="E1463">
        <f ca="1">IFERROR(__xludf.DUMMYFUNCTION("""COMPUTED_VALUE"""),263)</f>
        <v>263</v>
      </c>
      <c r="F1463">
        <v>266</v>
      </c>
      <c r="G1463">
        <v>0.98872180451127822</v>
      </c>
      <c r="H1463">
        <v>35339</v>
      </c>
      <c r="I1463">
        <v>56873</v>
      </c>
      <c r="J1463">
        <v>35339</v>
      </c>
      <c r="K1463">
        <v>0.96398232815156293</v>
      </c>
      <c r="L1463">
        <f ca="1">IFERROR(__xludf.DUMMYFUNCTION("""COMPUTED_VALUE"""),263)</f>
        <v>263</v>
      </c>
      <c r="M1463">
        <v>266</v>
      </c>
      <c r="N1463">
        <v>35339</v>
      </c>
      <c r="O1463">
        <f t="shared" ca="1" si="139"/>
        <v>0.98872180451127822</v>
      </c>
    </row>
    <row r="1464" spans="1:15" x14ac:dyDescent="0.2">
      <c r="A1464" t="str">
        <f ca="1">IFERROR(__xludf.DUMMYFUNCTION("""COMPUTED_VALUE"""),"mi")</f>
        <v>mi</v>
      </c>
      <c r="B1464" t="str">
        <f ca="1">IFERROR(__xludf.DUMMYFUNCTION("""COMPUTED_VALUE"""),"Model S 85")</f>
        <v>Model S 85</v>
      </c>
      <c r="C1464">
        <f ca="1">IFERROR(__xludf.DUMMYFUNCTION("""COMPUTED_VALUE"""),265)</f>
        <v>265</v>
      </c>
      <c r="D1464">
        <f ca="1">IFERROR(__xludf.DUMMYFUNCTION("""COMPUTED_VALUE"""),12000)</f>
        <v>12000</v>
      </c>
      <c r="E1464">
        <f ca="1">IFERROR(__xludf.DUMMYFUNCTION("""COMPUTED_VALUE"""),263)</f>
        <v>263</v>
      </c>
      <c r="F1464">
        <v>266</v>
      </c>
      <c r="G1464">
        <v>0.98872180451127822</v>
      </c>
      <c r="H1464">
        <v>12000</v>
      </c>
      <c r="I1464">
        <v>19312</v>
      </c>
      <c r="J1464">
        <v>12000</v>
      </c>
      <c r="K1464">
        <v>0.98710162305976779</v>
      </c>
      <c r="L1464">
        <f ca="1">IFERROR(__xludf.DUMMYFUNCTION("""COMPUTED_VALUE"""),263)</f>
        <v>263</v>
      </c>
      <c r="M1464">
        <v>266</v>
      </c>
      <c r="N1464">
        <v>12000</v>
      </c>
      <c r="O1464">
        <f t="shared" ca="1" si="139"/>
        <v>0.98872180451127822</v>
      </c>
    </row>
    <row r="1465" spans="1:15" x14ac:dyDescent="0.2">
      <c r="A1465" t="str">
        <f ca="1">IFERROR(__xludf.DUMMYFUNCTION("""COMPUTED_VALUE"""),"km")</f>
        <v>km</v>
      </c>
      <c r="B1465" t="str">
        <f ca="1">IFERROR(__xludf.DUMMYFUNCTION("""COMPUTED_VALUE"""),"Model S 90D")</f>
        <v>Model S 90D</v>
      </c>
      <c r="C1465">
        <f ca="1">IFERROR(__xludf.DUMMYFUNCTION("""COMPUTED_VALUE"""),450)</f>
        <v>450</v>
      </c>
      <c r="D1465">
        <f ca="1">IFERROR(__xludf.DUMMYFUNCTION("""COMPUTED_VALUE"""),33608)</f>
        <v>33608</v>
      </c>
      <c r="E1465">
        <f ca="1">IFERROR(__xludf.DUMMYFUNCTION("""COMPUTED_VALUE"""),442)</f>
        <v>442</v>
      </c>
      <c r="F1465">
        <v>447</v>
      </c>
      <c r="G1465">
        <v>0.98881431767337813</v>
      </c>
      <c r="H1465">
        <v>20883</v>
      </c>
      <c r="I1465">
        <v>33608</v>
      </c>
      <c r="J1465">
        <v>20883</v>
      </c>
      <c r="K1465">
        <v>0.97799201224855026</v>
      </c>
      <c r="L1465">
        <f t="shared" ref="L1465:M1469" ca="1" si="148">E1465*0.621371</f>
        <v>274.645982</v>
      </c>
      <c r="M1465">
        <f t="shared" si="148"/>
        <v>277.752837</v>
      </c>
      <c r="N1465">
        <v>20883</v>
      </c>
      <c r="O1465">
        <f t="shared" ca="1" si="139"/>
        <v>0.98881431767337813</v>
      </c>
    </row>
    <row r="1466" spans="1:15" x14ac:dyDescent="0.2">
      <c r="A1466" t="str">
        <f ca="1">IFERROR(__xludf.DUMMYFUNCTION("""COMPUTED_VALUE"""),"km")</f>
        <v>km</v>
      </c>
      <c r="B1466" t="str">
        <f ca="1">IFERROR(__xludf.DUMMYFUNCTION("""COMPUTED_VALUE"""),"Model S 70D")</f>
        <v>Model S 70D</v>
      </c>
      <c r="C1466">
        <f ca="1">IFERROR(__xludf.DUMMYFUNCTION("""COMPUTED_VALUE"""),370)</f>
        <v>370</v>
      </c>
      <c r="D1466">
        <f ca="1">IFERROR(__xludf.DUMMYFUNCTION("""COMPUTED_VALUE"""),30174)</f>
        <v>30174</v>
      </c>
      <c r="E1466">
        <f ca="1">IFERROR(__xludf.DUMMYFUNCTION("""COMPUTED_VALUE"""),356)</f>
        <v>356</v>
      </c>
      <c r="F1466">
        <v>360</v>
      </c>
      <c r="G1466">
        <v>0.98888888888888893</v>
      </c>
      <c r="H1466">
        <v>18749</v>
      </c>
      <c r="I1466">
        <v>30174</v>
      </c>
      <c r="J1466">
        <v>18749</v>
      </c>
      <c r="K1466">
        <v>0.98014576383518692</v>
      </c>
      <c r="L1466">
        <f t="shared" ca="1" si="148"/>
        <v>221.20807600000001</v>
      </c>
      <c r="M1466">
        <f t="shared" si="148"/>
        <v>223.69355999999999</v>
      </c>
      <c r="N1466">
        <v>18749</v>
      </c>
      <c r="O1466">
        <f t="shared" ca="1" si="139"/>
        <v>0.98888888888888893</v>
      </c>
    </row>
    <row r="1467" spans="1:15" x14ac:dyDescent="0.2">
      <c r="A1467" t="str">
        <f ca="1">IFERROR(__xludf.DUMMYFUNCTION("""COMPUTED_VALUE"""),"km")</f>
        <v>km</v>
      </c>
      <c r="B1467" t="str">
        <f ca="1">IFERROR(__xludf.DUMMYFUNCTION("""COMPUTED_VALUE"""),"Model S 70D")</f>
        <v>Model S 70D</v>
      </c>
      <c r="C1467">
        <f ca="1">IFERROR(__xludf.DUMMYFUNCTION("""COMPUTED_VALUE"""),382)</f>
        <v>382</v>
      </c>
      <c r="D1467">
        <f ca="1">IFERROR(__xludf.DUMMYFUNCTION("""COMPUTED_VALUE"""),91770)</f>
        <v>91770</v>
      </c>
      <c r="E1467">
        <f ca="1">IFERROR(__xludf.DUMMYFUNCTION("""COMPUTED_VALUE"""),356)</f>
        <v>356</v>
      </c>
      <c r="F1467">
        <v>360</v>
      </c>
      <c r="G1467">
        <v>0.98888888888888893</v>
      </c>
      <c r="H1467">
        <v>57023</v>
      </c>
      <c r="I1467">
        <v>91770</v>
      </c>
      <c r="J1467">
        <v>57023</v>
      </c>
      <c r="K1467">
        <v>0.9449140437627237</v>
      </c>
      <c r="L1467">
        <f t="shared" ca="1" si="148"/>
        <v>221.20807600000001</v>
      </c>
      <c r="M1467">
        <f t="shared" si="148"/>
        <v>223.69355999999999</v>
      </c>
      <c r="N1467">
        <v>57023</v>
      </c>
      <c r="O1467">
        <f t="shared" ca="1" si="139"/>
        <v>0.98888888888888893</v>
      </c>
    </row>
    <row r="1468" spans="1:15" x14ac:dyDescent="0.2">
      <c r="A1468" t="str">
        <f ca="1">IFERROR(__xludf.DUMMYFUNCTION("""COMPUTED_VALUE"""),"km")</f>
        <v>km</v>
      </c>
      <c r="B1468" t="str">
        <f ca="1">IFERROR(__xludf.DUMMYFUNCTION("""COMPUTED_VALUE"""),"Model S 70D")</f>
        <v>Model S 70D</v>
      </c>
      <c r="C1468">
        <f ca="1">IFERROR(__xludf.DUMMYFUNCTION("""COMPUTED_VALUE"""),365)</f>
        <v>365</v>
      </c>
      <c r="D1468">
        <f ca="1">IFERROR(__xludf.DUMMYFUNCTION("""COMPUTED_VALUE"""),29300)</f>
        <v>29300</v>
      </c>
      <c r="E1468">
        <f ca="1">IFERROR(__xludf.DUMMYFUNCTION("""COMPUTED_VALUE"""),356)</f>
        <v>356</v>
      </c>
      <c r="F1468">
        <v>360</v>
      </c>
      <c r="G1468">
        <v>0.98888888888888893</v>
      </c>
      <c r="H1468">
        <v>18206</v>
      </c>
      <c r="I1468">
        <v>29300</v>
      </c>
      <c r="J1468">
        <v>18206</v>
      </c>
      <c r="K1468">
        <v>0.9806974128395971</v>
      </c>
      <c r="L1468">
        <f t="shared" ca="1" si="148"/>
        <v>221.20807600000001</v>
      </c>
      <c r="M1468">
        <f t="shared" si="148"/>
        <v>223.69355999999999</v>
      </c>
      <c r="N1468">
        <v>18206</v>
      </c>
      <c r="O1468">
        <f t="shared" ca="1" si="139"/>
        <v>0.98888888888888893</v>
      </c>
    </row>
    <row r="1469" spans="1:15" x14ac:dyDescent="0.2">
      <c r="A1469" t="str">
        <f ca="1">IFERROR(__xludf.DUMMYFUNCTION("""COMPUTED_VALUE"""),"km")</f>
        <v>km</v>
      </c>
      <c r="B1469" t="str">
        <f ca="1">IFERROR(__xludf.DUMMYFUNCTION("""COMPUTED_VALUE"""),"Model S 70D")</f>
        <v>Model S 70D</v>
      </c>
      <c r="C1469">
        <f ca="1">IFERROR(__xludf.DUMMYFUNCTION("""COMPUTED_VALUE"""),365)</f>
        <v>365</v>
      </c>
      <c r="D1469">
        <f ca="1">IFERROR(__xludf.DUMMYFUNCTION("""COMPUTED_VALUE"""),18723)</f>
        <v>18723</v>
      </c>
      <c r="E1469">
        <f ca="1">IFERROR(__xludf.DUMMYFUNCTION("""COMPUTED_VALUE"""),356)</f>
        <v>356</v>
      </c>
      <c r="F1469">
        <v>360</v>
      </c>
      <c r="G1469">
        <v>0.98888888888888893</v>
      </c>
      <c r="H1469">
        <v>11634</v>
      </c>
      <c r="I1469">
        <v>18723</v>
      </c>
      <c r="J1469">
        <v>11634</v>
      </c>
      <c r="K1469">
        <v>0.98748500237091208</v>
      </c>
      <c r="L1469">
        <f t="shared" ca="1" si="148"/>
        <v>221.20807600000001</v>
      </c>
      <c r="M1469">
        <f t="shared" si="148"/>
        <v>223.69355999999999</v>
      </c>
      <c r="N1469">
        <v>11634</v>
      </c>
      <c r="O1469">
        <f t="shared" ca="1" si="139"/>
        <v>0.98888888888888893</v>
      </c>
    </row>
    <row r="1470" spans="1:15" x14ac:dyDescent="0.2">
      <c r="A1470" t="str">
        <f ca="1">IFERROR(__xludf.DUMMYFUNCTION("""COMPUTED_VALUE"""),"mi")</f>
        <v>mi</v>
      </c>
      <c r="B1470" t="str">
        <f ca="1">IFERROR(__xludf.DUMMYFUNCTION("""COMPUTED_VALUE"""),"Model S 90D")</f>
        <v>Model S 90D</v>
      </c>
      <c r="C1470">
        <f ca="1">IFERROR(__xludf.DUMMYFUNCTION("""COMPUTED_VALUE"""),295)</f>
        <v>295</v>
      </c>
      <c r="D1470">
        <f ca="1">IFERROR(__xludf.DUMMYFUNCTION("""COMPUTED_VALUE"""),26565.8)</f>
        <v>26565.8</v>
      </c>
      <c r="E1470">
        <f ca="1">IFERROR(__xludf.DUMMYFUNCTION("""COMPUTED_VALUE"""),288.8)</f>
        <v>288.8</v>
      </c>
      <c r="F1470">
        <v>292</v>
      </c>
      <c r="G1470">
        <v>0.989041095890411</v>
      </c>
      <c r="H1470">
        <v>26565.8</v>
      </c>
      <c r="I1470">
        <v>42754</v>
      </c>
      <c r="J1470">
        <v>26565.8</v>
      </c>
      <c r="K1470">
        <v>0.97236296721646354</v>
      </c>
      <c r="L1470">
        <f ca="1">IFERROR(__xludf.DUMMYFUNCTION("""COMPUTED_VALUE"""),288.8)</f>
        <v>288.8</v>
      </c>
      <c r="M1470">
        <v>292</v>
      </c>
      <c r="N1470">
        <v>26565.8</v>
      </c>
      <c r="O1470">
        <f t="shared" ca="1" si="139"/>
        <v>0.989041095890411</v>
      </c>
    </row>
    <row r="1471" spans="1:15" x14ac:dyDescent="0.2">
      <c r="A1471" t="str">
        <f ca="1">IFERROR(__xludf.DUMMYFUNCTION("""COMPUTED_VALUE"""),"mi")</f>
        <v>mi</v>
      </c>
      <c r="B1471" t="str">
        <f ca="1">IFERROR(__xludf.DUMMYFUNCTION("""COMPUTED_VALUE"""),"Model S 90D 2015")</f>
        <v>Model S 90D 2015</v>
      </c>
      <c r="C1471">
        <f ca="1">IFERROR(__xludf.DUMMYFUNCTION("""COMPUTED_VALUE"""),282)</f>
        <v>282</v>
      </c>
      <c r="D1471">
        <f ca="1">IFERROR(__xludf.DUMMYFUNCTION("""COMPUTED_VALUE"""),2132)</f>
        <v>2132</v>
      </c>
      <c r="E1471">
        <f ca="1">IFERROR(__xludf.DUMMYFUNCTION("""COMPUTED_VALUE"""),274)</f>
        <v>274</v>
      </c>
      <c r="F1471">
        <v>277</v>
      </c>
      <c r="G1471">
        <v>0.98916967509025266</v>
      </c>
      <c r="H1471">
        <v>2132</v>
      </c>
      <c r="I1471">
        <v>3431</v>
      </c>
      <c r="J1471">
        <v>2132</v>
      </c>
      <c r="K1471">
        <v>0.99765927867375881</v>
      </c>
      <c r="L1471">
        <f ca="1">IFERROR(__xludf.DUMMYFUNCTION("""COMPUTED_VALUE"""),274)</f>
        <v>274</v>
      </c>
      <c r="M1471">
        <v>277</v>
      </c>
      <c r="N1471">
        <v>2132</v>
      </c>
      <c r="O1471">
        <f t="shared" ca="1" si="139"/>
        <v>0.98916967509025266</v>
      </c>
    </row>
    <row r="1472" spans="1:15" x14ac:dyDescent="0.2">
      <c r="A1472" t="str">
        <f ca="1">IFERROR(__xludf.DUMMYFUNCTION("""COMPUTED_VALUE"""),"km")</f>
        <v>km</v>
      </c>
      <c r="B1472" t="str">
        <f ca="1">IFERROR(__xludf.DUMMYFUNCTION("""COMPUTED_VALUE"""),"Model S 75")</f>
        <v>Model S 75</v>
      </c>
      <c r="D1472">
        <f ca="1">IFERROR(__xludf.DUMMYFUNCTION("""COMPUTED_VALUE"""),37850)</f>
        <v>37850</v>
      </c>
      <c r="E1472">
        <f ca="1">IFERROR(__xludf.DUMMYFUNCTION("""COMPUTED_VALUE"""),371)</f>
        <v>371</v>
      </c>
      <c r="F1472">
        <v>375</v>
      </c>
      <c r="G1472">
        <v>0.98933333333333329</v>
      </c>
      <c r="H1472">
        <v>23519</v>
      </c>
      <c r="I1472">
        <v>37850</v>
      </c>
      <c r="J1472">
        <v>23519</v>
      </c>
      <c r="K1472">
        <v>0.97536177296013271</v>
      </c>
      <c r="L1472">
        <f t="shared" ref="L1472:L1491" ca="1" si="149">E1472*0.621371</f>
        <v>230.52864099999999</v>
      </c>
      <c r="M1472">
        <f t="shared" ref="M1472:M1491" si="150">F1472*0.621371</f>
        <v>233.01412500000001</v>
      </c>
      <c r="N1472">
        <v>23519</v>
      </c>
      <c r="O1472">
        <f t="shared" ca="1" si="139"/>
        <v>0.98933333333333329</v>
      </c>
    </row>
    <row r="1473" spans="1:15" x14ac:dyDescent="0.2">
      <c r="A1473" t="str">
        <f ca="1">IFERROR(__xludf.DUMMYFUNCTION("""COMPUTED_VALUE"""),"km")</f>
        <v>km</v>
      </c>
      <c r="B1473" t="str">
        <f ca="1">IFERROR(__xludf.DUMMYFUNCTION("""COMPUTED_VALUE"""),"Model S 75D")</f>
        <v>Model S 75D</v>
      </c>
      <c r="C1473">
        <f ca="1">IFERROR(__xludf.DUMMYFUNCTION("""COMPUTED_VALUE"""),393)</f>
        <v>393</v>
      </c>
      <c r="D1473">
        <f ca="1">IFERROR(__xludf.DUMMYFUNCTION("""COMPUTED_VALUE"""),85000)</f>
        <v>85000</v>
      </c>
      <c r="E1473">
        <f ca="1">IFERROR(__xludf.DUMMYFUNCTION("""COMPUTED_VALUE"""),380)</f>
        <v>380</v>
      </c>
      <c r="F1473">
        <v>384</v>
      </c>
      <c r="G1473">
        <v>0.98958333333333337</v>
      </c>
      <c r="H1473">
        <v>52817</v>
      </c>
      <c r="I1473">
        <v>85000</v>
      </c>
      <c r="J1473">
        <v>52817</v>
      </c>
      <c r="K1473">
        <v>0.94842714235454184</v>
      </c>
      <c r="L1473">
        <f t="shared" ca="1" si="149"/>
        <v>236.12098</v>
      </c>
      <c r="M1473">
        <f t="shared" si="150"/>
        <v>238.60646400000002</v>
      </c>
      <c r="N1473">
        <v>52817</v>
      </c>
      <c r="O1473">
        <f t="shared" ca="1" si="139"/>
        <v>0.98958333333333326</v>
      </c>
    </row>
    <row r="1474" spans="1:15" x14ac:dyDescent="0.2">
      <c r="A1474" t="str">
        <f ca="1">IFERROR(__xludf.DUMMYFUNCTION("""COMPUTED_VALUE"""),"km")</f>
        <v>km</v>
      </c>
      <c r="B1474" t="str">
        <f ca="1">IFERROR(__xludf.DUMMYFUNCTION("""COMPUTED_VALUE"""),"Model S P100D")</f>
        <v>Model S P100D</v>
      </c>
      <c r="D1474">
        <f ca="1">IFERROR(__xludf.DUMMYFUNCTION("""COMPUTED_VALUE"""),6472)</f>
        <v>6472</v>
      </c>
      <c r="E1474">
        <f ca="1">IFERROR(__xludf.DUMMYFUNCTION("""COMPUTED_VALUE"""),478)</f>
        <v>478</v>
      </c>
      <c r="F1474">
        <v>483</v>
      </c>
      <c r="G1474">
        <v>0.98964803312629401</v>
      </c>
      <c r="H1474">
        <v>4022</v>
      </c>
      <c r="I1474">
        <v>6472</v>
      </c>
      <c r="J1474">
        <v>4022</v>
      </c>
      <c r="K1474">
        <v>0.99560230222379742</v>
      </c>
      <c r="L1474">
        <f t="shared" ca="1" si="149"/>
        <v>297.01533799999999</v>
      </c>
      <c r="M1474">
        <f t="shared" si="150"/>
        <v>300.12219299999998</v>
      </c>
      <c r="N1474">
        <v>4022</v>
      </c>
      <c r="O1474">
        <f t="shared" ref="O1474:O1537" ca="1" si="151">L1474/M1474</f>
        <v>0.98964803312629401</v>
      </c>
    </row>
    <row r="1475" spans="1:15" x14ac:dyDescent="0.2">
      <c r="A1475" t="str">
        <f ca="1">IFERROR(__xludf.DUMMYFUNCTION("""COMPUTED_VALUE"""),"km")</f>
        <v>km</v>
      </c>
      <c r="B1475" t="str">
        <f ca="1">IFERROR(__xludf.DUMMYFUNCTION("""COMPUTED_VALUE"""),"Model S 85")</f>
        <v>Model S 85</v>
      </c>
      <c r="D1475">
        <f ca="1">IFERROR(__xludf.DUMMYFUNCTION("""COMPUTED_VALUE"""),66849)</f>
        <v>66849</v>
      </c>
      <c r="E1475">
        <f ca="1">IFERROR(__xludf.DUMMYFUNCTION("""COMPUTED_VALUE"""),391)</f>
        <v>391</v>
      </c>
      <c r="F1475">
        <v>395</v>
      </c>
      <c r="G1475">
        <v>0.98987341772151893</v>
      </c>
      <c r="H1475">
        <v>41538</v>
      </c>
      <c r="I1475">
        <v>66849</v>
      </c>
      <c r="J1475">
        <v>41538</v>
      </c>
      <c r="K1475">
        <v>0.95828992218802223</v>
      </c>
      <c r="L1475">
        <f t="shared" ca="1" si="149"/>
        <v>242.95606100000001</v>
      </c>
      <c r="M1475">
        <f t="shared" si="150"/>
        <v>245.44154499999999</v>
      </c>
      <c r="N1475">
        <v>41538</v>
      </c>
      <c r="O1475">
        <f t="shared" ca="1" si="151"/>
        <v>0.98987341772151904</v>
      </c>
    </row>
    <row r="1476" spans="1:15" x14ac:dyDescent="0.2">
      <c r="A1476" t="str">
        <f ca="1">IFERROR(__xludf.DUMMYFUNCTION("""COMPUTED_VALUE"""),"km")</f>
        <v>km</v>
      </c>
      <c r="B1476" t="str">
        <f ca="1">IFERROR(__xludf.DUMMYFUNCTION("""COMPUTED_VALUE"""),"Model S P85")</f>
        <v>Model S P85</v>
      </c>
      <c r="D1476">
        <f ca="1">IFERROR(__xludf.DUMMYFUNCTION("""COMPUTED_VALUE"""),16133)</f>
        <v>16133</v>
      </c>
      <c r="E1476">
        <f ca="1">IFERROR(__xludf.DUMMYFUNCTION("""COMPUTED_VALUE"""),391)</f>
        <v>391</v>
      </c>
      <c r="F1476">
        <v>395</v>
      </c>
      <c r="G1476">
        <v>0.98987341772151893</v>
      </c>
      <c r="H1476">
        <v>10025</v>
      </c>
      <c r="I1476">
        <v>16133</v>
      </c>
      <c r="J1476">
        <v>10025</v>
      </c>
      <c r="K1476">
        <v>0.98917834961678819</v>
      </c>
      <c r="L1476">
        <f t="shared" ca="1" si="149"/>
        <v>242.95606100000001</v>
      </c>
      <c r="M1476">
        <f t="shared" si="150"/>
        <v>245.44154499999999</v>
      </c>
      <c r="N1476">
        <v>10025</v>
      </c>
      <c r="O1476">
        <f t="shared" ca="1" si="151"/>
        <v>0.98987341772151904</v>
      </c>
    </row>
    <row r="1477" spans="1:15" x14ac:dyDescent="0.2">
      <c r="A1477" t="str">
        <f ca="1">IFERROR(__xludf.DUMMYFUNCTION("""COMPUTED_VALUE"""),"km")</f>
        <v>km</v>
      </c>
      <c r="B1477" t="str">
        <f ca="1">IFERROR(__xludf.DUMMYFUNCTION("""COMPUTED_VALUE"""),"Model S 85")</f>
        <v>Model S 85</v>
      </c>
      <c r="D1477">
        <f ca="1">IFERROR(__xludf.DUMMYFUNCTION("""COMPUTED_VALUE"""),7330)</f>
        <v>7330</v>
      </c>
      <c r="E1477">
        <f ca="1">IFERROR(__xludf.DUMMYFUNCTION("""COMPUTED_VALUE"""),391)</f>
        <v>391</v>
      </c>
      <c r="F1477">
        <v>395</v>
      </c>
      <c r="G1477">
        <v>0.98987341772151893</v>
      </c>
      <c r="H1477">
        <v>4555</v>
      </c>
      <c r="I1477">
        <v>7330</v>
      </c>
      <c r="J1477">
        <v>4555</v>
      </c>
      <c r="K1477">
        <v>0.99502495147072212</v>
      </c>
      <c r="L1477">
        <f t="shared" ca="1" si="149"/>
        <v>242.95606100000001</v>
      </c>
      <c r="M1477">
        <f t="shared" si="150"/>
        <v>245.44154499999999</v>
      </c>
      <c r="N1477">
        <v>4555</v>
      </c>
      <c r="O1477">
        <f t="shared" ca="1" si="151"/>
        <v>0.98987341772151904</v>
      </c>
    </row>
    <row r="1478" spans="1:15" x14ac:dyDescent="0.2">
      <c r="A1478" t="str">
        <f ca="1">IFERROR(__xludf.DUMMYFUNCTION("""COMPUTED_VALUE"""),"km")</f>
        <v>km</v>
      </c>
      <c r="B1478" t="str">
        <f ca="1">IFERROR(__xludf.DUMMYFUNCTION("""COMPUTED_VALUE"""),"Model S 85")</f>
        <v>Model S 85</v>
      </c>
      <c r="D1478">
        <f ca="1">IFERROR(__xludf.DUMMYFUNCTION("""COMPUTED_VALUE"""),45845)</f>
        <v>45845</v>
      </c>
      <c r="E1478">
        <f ca="1">IFERROR(__xludf.DUMMYFUNCTION("""COMPUTED_VALUE"""),391)</f>
        <v>391</v>
      </c>
      <c r="F1478">
        <v>395</v>
      </c>
      <c r="G1478">
        <v>0.98987341772151893</v>
      </c>
      <c r="H1478">
        <v>28487</v>
      </c>
      <c r="I1478">
        <v>45845</v>
      </c>
      <c r="J1478">
        <v>28487</v>
      </c>
      <c r="K1478">
        <v>0.97049601035552036</v>
      </c>
      <c r="L1478">
        <f t="shared" ca="1" si="149"/>
        <v>242.95606100000001</v>
      </c>
      <c r="M1478">
        <f t="shared" si="150"/>
        <v>245.44154499999999</v>
      </c>
      <c r="N1478">
        <v>28487</v>
      </c>
      <c r="O1478">
        <f t="shared" ca="1" si="151"/>
        <v>0.98987341772151904</v>
      </c>
    </row>
    <row r="1479" spans="1:15" x14ac:dyDescent="0.2">
      <c r="A1479" t="str">
        <f ca="1">IFERROR(__xludf.DUMMYFUNCTION("""COMPUTED_VALUE"""),"km")</f>
        <v>km</v>
      </c>
      <c r="B1479" t="str">
        <f ca="1">IFERROR(__xludf.DUMMYFUNCTION("""COMPUTED_VALUE"""),"Model S 85")</f>
        <v>Model S 85</v>
      </c>
      <c r="D1479">
        <f ca="1">IFERROR(__xludf.DUMMYFUNCTION("""COMPUTED_VALUE"""),13425)</f>
        <v>13425</v>
      </c>
      <c r="E1479">
        <f ca="1">IFERROR(__xludf.DUMMYFUNCTION("""COMPUTED_VALUE"""),391)</f>
        <v>391</v>
      </c>
      <c r="F1479">
        <v>395</v>
      </c>
      <c r="G1479">
        <v>0.98987341772151893</v>
      </c>
      <c r="H1479">
        <v>8342</v>
      </c>
      <c r="I1479">
        <v>13425</v>
      </c>
      <c r="J1479">
        <v>8342</v>
      </c>
      <c r="K1479">
        <v>0.9909619193762732</v>
      </c>
      <c r="L1479">
        <f t="shared" ca="1" si="149"/>
        <v>242.95606100000001</v>
      </c>
      <c r="M1479">
        <f t="shared" si="150"/>
        <v>245.44154499999999</v>
      </c>
      <c r="N1479">
        <v>8342</v>
      </c>
      <c r="O1479">
        <f t="shared" ca="1" si="151"/>
        <v>0.98987341772151904</v>
      </c>
    </row>
    <row r="1480" spans="1:15" x14ac:dyDescent="0.2">
      <c r="A1480" t="str">
        <f ca="1">IFERROR(__xludf.DUMMYFUNCTION("""COMPUTED_VALUE"""),"km")</f>
        <v>km</v>
      </c>
      <c r="B1480" t="str">
        <f ca="1">IFERROR(__xludf.DUMMYFUNCTION("""COMPUTED_VALUE"""),"Model S 85")</f>
        <v>Model S 85</v>
      </c>
      <c r="D1480">
        <f ca="1">IFERROR(__xludf.DUMMYFUNCTION("""COMPUTED_VALUE"""),10000)</f>
        <v>10000</v>
      </c>
      <c r="E1480">
        <f ca="1">IFERROR(__xludf.DUMMYFUNCTION("""COMPUTED_VALUE"""),391)</f>
        <v>391</v>
      </c>
      <c r="F1480">
        <v>395</v>
      </c>
      <c r="G1480">
        <v>0.98987341772151893</v>
      </c>
      <c r="H1480">
        <v>6214</v>
      </c>
      <c r="I1480">
        <v>10000</v>
      </c>
      <c r="J1480">
        <v>6214</v>
      </c>
      <c r="K1480">
        <v>0.99323680524735491</v>
      </c>
      <c r="L1480">
        <f t="shared" ca="1" si="149"/>
        <v>242.95606100000001</v>
      </c>
      <c r="M1480">
        <f t="shared" si="150"/>
        <v>245.44154499999999</v>
      </c>
      <c r="N1480">
        <v>6214</v>
      </c>
      <c r="O1480">
        <f t="shared" ca="1" si="151"/>
        <v>0.98987341772151904</v>
      </c>
    </row>
    <row r="1481" spans="1:15" x14ac:dyDescent="0.2">
      <c r="A1481" t="str">
        <f ca="1">IFERROR(__xludf.DUMMYFUNCTION("""COMPUTED_VALUE"""),"km")</f>
        <v>km</v>
      </c>
      <c r="B1481" t="str">
        <f ca="1">IFERROR(__xludf.DUMMYFUNCTION("""COMPUTED_VALUE"""),"Model S 85")</f>
        <v>Model S 85</v>
      </c>
      <c r="D1481">
        <f ca="1">IFERROR(__xludf.DUMMYFUNCTION("""COMPUTED_VALUE"""),14000)</f>
        <v>14000</v>
      </c>
      <c r="E1481">
        <f ca="1">IFERROR(__xludf.DUMMYFUNCTION("""COMPUTED_VALUE"""),391)</f>
        <v>391</v>
      </c>
      <c r="F1481">
        <v>395</v>
      </c>
      <c r="G1481">
        <v>0.98987341772151893</v>
      </c>
      <c r="H1481">
        <v>8699</v>
      </c>
      <c r="I1481">
        <v>14000</v>
      </c>
      <c r="J1481">
        <v>8699</v>
      </c>
      <c r="K1481">
        <v>0.99058209154111365</v>
      </c>
      <c r="L1481">
        <f t="shared" ca="1" si="149"/>
        <v>242.95606100000001</v>
      </c>
      <c r="M1481">
        <f t="shared" si="150"/>
        <v>245.44154499999999</v>
      </c>
      <c r="N1481">
        <v>8699</v>
      </c>
      <c r="O1481">
        <f t="shared" ca="1" si="151"/>
        <v>0.98987341772151904</v>
      </c>
    </row>
    <row r="1482" spans="1:15" x14ac:dyDescent="0.2">
      <c r="A1482" t="str">
        <f ca="1">IFERROR(__xludf.DUMMYFUNCTION("""COMPUTED_VALUE"""),"km")</f>
        <v>km</v>
      </c>
      <c r="B1482" t="str">
        <f ca="1">IFERROR(__xludf.DUMMYFUNCTION("""COMPUTED_VALUE"""),"Unspecified 85 kWh")</f>
        <v>Unspecified 85 kWh</v>
      </c>
      <c r="D1482">
        <f ca="1">IFERROR(__xludf.DUMMYFUNCTION("""COMPUTED_VALUE"""),25050)</f>
        <v>25050</v>
      </c>
      <c r="E1482">
        <f ca="1">IFERROR(__xludf.DUMMYFUNCTION("""COMPUTED_VALUE"""),391)</f>
        <v>391</v>
      </c>
      <c r="F1482">
        <v>395</v>
      </c>
      <c r="G1482">
        <v>0.98987341772151893</v>
      </c>
      <c r="H1482">
        <v>15565</v>
      </c>
      <c r="I1482">
        <v>25050</v>
      </c>
      <c r="J1482">
        <v>15565</v>
      </c>
      <c r="K1482">
        <v>0.98340003521554942</v>
      </c>
      <c r="L1482">
        <f t="shared" ca="1" si="149"/>
        <v>242.95606100000001</v>
      </c>
      <c r="M1482">
        <f t="shared" si="150"/>
        <v>245.44154499999999</v>
      </c>
      <c r="N1482">
        <v>15565</v>
      </c>
      <c r="O1482">
        <f t="shared" ca="1" si="151"/>
        <v>0.98987341772151904</v>
      </c>
    </row>
    <row r="1483" spans="1:15" x14ac:dyDescent="0.2">
      <c r="A1483" t="str">
        <f ca="1">IFERROR(__xludf.DUMMYFUNCTION("""COMPUTED_VALUE"""),"km")</f>
        <v>km</v>
      </c>
      <c r="B1483" t="str">
        <f ca="1">IFERROR(__xludf.DUMMYFUNCTION("""COMPUTED_VALUE"""),"Model S 85")</f>
        <v>Model S 85</v>
      </c>
      <c r="D1483">
        <f ca="1">IFERROR(__xludf.DUMMYFUNCTION("""COMPUTED_VALUE"""),35244)</f>
        <v>35244</v>
      </c>
      <c r="E1483">
        <f ca="1">IFERROR(__xludf.DUMMYFUNCTION("""COMPUTED_VALUE"""),391)</f>
        <v>391</v>
      </c>
      <c r="F1483">
        <v>395</v>
      </c>
      <c r="G1483">
        <v>0.98987341772151893</v>
      </c>
      <c r="H1483">
        <v>21900</v>
      </c>
      <c r="I1483">
        <v>35244</v>
      </c>
      <c r="J1483">
        <v>21900</v>
      </c>
      <c r="K1483">
        <v>0.97697364344530613</v>
      </c>
      <c r="L1483">
        <f t="shared" ca="1" si="149"/>
        <v>242.95606100000001</v>
      </c>
      <c r="M1483">
        <f t="shared" si="150"/>
        <v>245.44154499999999</v>
      </c>
      <c r="N1483">
        <v>21900</v>
      </c>
      <c r="O1483">
        <f t="shared" ca="1" si="151"/>
        <v>0.98987341772151904</v>
      </c>
    </row>
    <row r="1484" spans="1:15" x14ac:dyDescent="0.2">
      <c r="A1484" t="str">
        <f ca="1">IFERROR(__xludf.DUMMYFUNCTION("""COMPUTED_VALUE"""),"km")</f>
        <v>km</v>
      </c>
      <c r="B1484" t="str">
        <f ca="1">IFERROR(__xludf.DUMMYFUNCTION("""COMPUTED_VALUE"""),"Model S 85")</f>
        <v>Model S 85</v>
      </c>
      <c r="D1484">
        <f ca="1">IFERROR(__xludf.DUMMYFUNCTION("""COMPUTED_VALUE"""),22526)</f>
        <v>22526</v>
      </c>
      <c r="E1484">
        <f ca="1">IFERROR(__xludf.DUMMYFUNCTION("""COMPUTED_VALUE"""),391)</f>
        <v>391</v>
      </c>
      <c r="F1484">
        <v>395</v>
      </c>
      <c r="G1484">
        <v>0.98987341772151893</v>
      </c>
      <c r="H1484">
        <v>13997</v>
      </c>
      <c r="I1484">
        <v>22526</v>
      </c>
      <c r="J1484">
        <v>13997</v>
      </c>
      <c r="K1484">
        <v>0.9850208248666964</v>
      </c>
      <c r="L1484">
        <f t="shared" ca="1" si="149"/>
        <v>242.95606100000001</v>
      </c>
      <c r="M1484">
        <f t="shared" si="150"/>
        <v>245.44154499999999</v>
      </c>
      <c r="N1484">
        <v>13997</v>
      </c>
      <c r="O1484">
        <f t="shared" ca="1" si="151"/>
        <v>0.98987341772151904</v>
      </c>
    </row>
    <row r="1485" spans="1:15" x14ac:dyDescent="0.2">
      <c r="A1485" t="str">
        <f ca="1">IFERROR(__xludf.DUMMYFUNCTION("""COMPUTED_VALUE"""),"km")</f>
        <v>km</v>
      </c>
      <c r="B1485" t="str">
        <f ca="1">IFERROR(__xludf.DUMMYFUNCTION("""COMPUTED_VALUE"""),"Model S 85")</f>
        <v>Model S 85</v>
      </c>
      <c r="D1485">
        <f ca="1">IFERROR(__xludf.DUMMYFUNCTION("""COMPUTED_VALUE"""),7100)</f>
        <v>7100</v>
      </c>
      <c r="E1485">
        <f ca="1">IFERROR(__xludf.DUMMYFUNCTION("""COMPUTED_VALUE"""),391)</f>
        <v>391</v>
      </c>
      <c r="F1485">
        <v>395</v>
      </c>
      <c r="G1485">
        <v>0.98987341772151893</v>
      </c>
      <c r="H1485">
        <v>4412</v>
      </c>
      <c r="I1485">
        <v>7100</v>
      </c>
      <c r="J1485">
        <v>4412</v>
      </c>
      <c r="K1485">
        <v>0.99517958888914859</v>
      </c>
      <c r="L1485">
        <f t="shared" ca="1" si="149"/>
        <v>242.95606100000001</v>
      </c>
      <c r="M1485">
        <f t="shared" si="150"/>
        <v>245.44154499999999</v>
      </c>
      <c r="N1485">
        <v>4412</v>
      </c>
      <c r="O1485">
        <f t="shared" ca="1" si="151"/>
        <v>0.98987341772151904</v>
      </c>
    </row>
    <row r="1486" spans="1:15" x14ac:dyDescent="0.2">
      <c r="A1486" t="str">
        <f ca="1">IFERROR(__xludf.DUMMYFUNCTION("""COMPUTED_VALUE"""),"km")</f>
        <v>km</v>
      </c>
      <c r="B1486" t="str">
        <f ca="1">IFERROR(__xludf.DUMMYFUNCTION("""COMPUTED_VALUE"""),"Model 3 LR AWD")</f>
        <v>Model 3 LR AWD</v>
      </c>
      <c r="C1486">
        <f ca="1">IFERROR(__xludf.DUMMYFUNCTION("""COMPUTED_VALUE"""),502)</f>
        <v>502</v>
      </c>
      <c r="D1486">
        <f ca="1">IFERROR(__xludf.DUMMYFUNCTION("""COMPUTED_VALUE"""),12040)</f>
        <v>12040</v>
      </c>
      <c r="E1486">
        <f ca="1">IFERROR(__xludf.DUMMYFUNCTION("""COMPUTED_VALUE"""),494)</f>
        <v>494</v>
      </c>
      <c r="F1486">
        <v>499</v>
      </c>
      <c r="G1486">
        <v>0.98997995991983967</v>
      </c>
      <c r="H1486">
        <v>7481</v>
      </c>
      <c r="I1486">
        <v>12040</v>
      </c>
      <c r="J1486">
        <v>7481</v>
      </c>
      <c r="K1486">
        <v>0.99187927450469227</v>
      </c>
      <c r="L1486">
        <f t="shared" ca="1" si="149"/>
        <v>306.95727399999998</v>
      </c>
      <c r="M1486">
        <f t="shared" si="150"/>
        <v>310.06412899999998</v>
      </c>
      <c r="N1486">
        <v>7481</v>
      </c>
      <c r="O1486">
        <f t="shared" ca="1" si="151"/>
        <v>0.98997995991983967</v>
      </c>
    </row>
    <row r="1487" spans="1:15" x14ac:dyDescent="0.2">
      <c r="A1487" t="str">
        <f ca="1">IFERROR(__xludf.DUMMYFUNCTION("""COMPUTED_VALUE"""),"km")</f>
        <v>km</v>
      </c>
      <c r="B1487" t="str">
        <f ca="1">IFERROR(__xludf.DUMMYFUNCTION("""COMPUTED_VALUE"""),"Model 3 LR AWD")</f>
        <v>Model 3 LR AWD</v>
      </c>
      <c r="C1487">
        <f ca="1">IFERROR(__xludf.DUMMYFUNCTION("""COMPUTED_VALUE"""),500)</f>
        <v>500</v>
      </c>
      <c r="D1487">
        <f ca="1">IFERROR(__xludf.DUMMYFUNCTION("""COMPUTED_VALUE"""),5663)</f>
        <v>5663</v>
      </c>
      <c r="E1487">
        <f ca="1">IFERROR(__xludf.DUMMYFUNCTION("""COMPUTED_VALUE"""),494)</f>
        <v>494</v>
      </c>
      <c r="F1487">
        <v>499</v>
      </c>
      <c r="G1487">
        <v>0.98997995991983967</v>
      </c>
      <c r="H1487">
        <v>3519</v>
      </c>
      <c r="I1487">
        <v>5663</v>
      </c>
      <c r="J1487">
        <v>3519</v>
      </c>
      <c r="K1487">
        <v>0.99614789633317202</v>
      </c>
      <c r="L1487">
        <f t="shared" ca="1" si="149"/>
        <v>306.95727399999998</v>
      </c>
      <c r="M1487">
        <f t="shared" si="150"/>
        <v>310.06412899999998</v>
      </c>
      <c r="N1487">
        <v>3519</v>
      </c>
      <c r="O1487">
        <f t="shared" ca="1" si="151"/>
        <v>0.98997995991983967</v>
      </c>
    </row>
    <row r="1488" spans="1:15" x14ac:dyDescent="0.2">
      <c r="A1488" t="str">
        <f ca="1">IFERROR(__xludf.DUMMYFUNCTION("""COMPUTED_VALUE"""),"km")</f>
        <v>km</v>
      </c>
      <c r="B1488" t="str">
        <f ca="1">IFERROR(__xludf.DUMMYFUNCTION("""COMPUTED_VALUE"""),"Model S 100D")</f>
        <v>Model S 100D</v>
      </c>
      <c r="C1488">
        <f ca="1">IFERROR(__xludf.DUMMYFUNCTION("""COMPUTED_VALUE"""),506)</f>
        <v>506</v>
      </c>
      <c r="D1488">
        <f ca="1">IFERROR(__xludf.DUMMYFUNCTION("""COMPUTED_VALUE"""),8560)</f>
        <v>8560</v>
      </c>
      <c r="E1488">
        <f ca="1">IFERROR(__xludf.DUMMYFUNCTION("""COMPUTED_VALUE"""),505)</f>
        <v>505</v>
      </c>
      <c r="F1488">
        <v>510</v>
      </c>
      <c r="G1488">
        <v>0.99019607843137258</v>
      </c>
      <c r="H1488">
        <v>5319</v>
      </c>
      <c r="I1488">
        <v>8560</v>
      </c>
      <c r="J1488">
        <v>5319</v>
      </c>
      <c r="K1488">
        <v>0.99419959830721449</v>
      </c>
      <c r="L1488">
        <f t="shared" ca="1" si="149"/>
        <v>313.79235499999999</v>
      </c>
      <c r="M1488">
        <f t="shared" si="150"/>
        <v>316.89920999999998</v>
      </c>
      <c r="N1488">
        <v>5319</v>
      </c>
      <c r="O1488">
        <f t="shared" ca="1" si="151"/>
        <v>0.99019607843137258</v>
      </c>
    </row>
    <row r="1489" spans="1:15" x14ac:dyDescent="0.2">
      <c r="A1489" t="str">
        <f ca="1">IFERROR(__xludf.DUMMYFUNCTION("""COMPUTED_VALUE"""),"km")</f>
        <v>km</v>
      </c>
      <c r="B1489" t="str">
        <f ca="1">IFERROR(__xludf.DUMMYFUNCTION("""COMPUTED_VALUE"""),"Model S 85D")</f>
        <v>Model S 85D</v>
      </c>
      <c r="D1489">
        <f ca="1">IFERROR(__xludf.DUMMYFUNCTION("""COMPUTED_VALUE"""),50000)</f>
        <v>50000</v>
      </c>
      <c r="E1489">
        <f ca="1">IFERROR(__xludf.DUMMYFUNCTION("""COMPUTED_VALUE"""),421)</f>
        <v>421</v>
      </c>
      <c r="F1489">
        <v>425</v>
      </c>
      <c r="G1489">
        <v>0.99058823529411766</v>
      </c>
      <c r="H1489">
        <v>31069</v>
      </c>
      <c r="I1489">
        <v>50000</v>
      </c>
      <c r="J1489">
        <v>31069</v>
      </c>
      <c r="K1489">
        <v>0.96801478944655506</v>
      </c>
      <c r="L1489">
        <f t="shared" ca="1" si="149"/>
        <v>261.59719100000001</v>
      </c>
      <c r="M1489">
        <f t="shared" si="150"/>
        <v>264.08267499999999</v>
      </c>
      <c r="N1489">
        <v>31069</v>
      </c>
      <c r="O1489">
        <f t="shared" ca="1" si="151"/>
        <v>0.99058823529411766</v>
      </c>
    </row>
    <row r="1490" spans="1:15" x14ac:dyDescent="0.2">
      <c r="A1490" t="str">
        <f ca="1">IFERROR(__xludf.DUMMYFUNCTION("""COMPUTED_VALUE"""),"km")</f>
        <v>km</v>
      </c>
      <c r="B1490" t="str">
        <f ca="1">IFERROR(__xludf.DUMMYFUNCTION("""COMPUTED_VALUE"""),"Model S 85D")</f>
        <v>Model S 85D</v>
      </c>
      <c r="C1490">
        <f ca="1">IFERROR(__xludf.DUMMYFUNCTION("""COMPUTED_VALUE"""),421)</f>
        <v>421</v>
      </c>
      <c r="D1490">
        <f ca="1">IFERROR(__xludf.DUMMYFUNCTION("""COMPUTED_VALUE"""),3856)</f>
        <v>3856</v>
      </c>
      <c r="E1490">
        <f ca="1">IFERROR(__xludf.DUMMYFUNCTION("""COMPUTED_VALUE"""),421)</f>
        <v>421</v>
      </c>
      <c r="F1490">
        <v>425</v>
      </c>
      <c r="G1490">
        <v>0.99058823529411766</v>
      </c>
      <c r="H1490">
        <v>2396</v>
      </c>
      <c r="I1490">
        <v>3856</v>
      </c>
      <c r="J1490">
        <v>2396</v>
      </c>
      <c r="K1490">
        <v>0.99737080252607213</v>
      </c>
      <c r="L1490">
        <f t="shared" ca="1" si="149"/>
        <v>261.59719100000001</v>
      </c>
      <c r="M1490">
        <f t="shared" si="150"/>
        <v>264.08267499999999</v>
      </c>
      <c r="N1490">
        <v>2396</v>
      </c>
      <c r="O1490">
        <f t="shared" ca="1" si="151"/>
        <v>0.99058823529411766</v>
      </c>
    </row>
    <row r="1491" spans="1:15" x14ac:dyDescent="0.2">
      <c r="A1491" t="str">
        <f ca="1">IFERROR(__xludf.DUMMYFUNCTION("""COMPUTED_VALUE"""),"km")</f>
        <v>km</v>
      </c>
      <c r="B1491" t="str">
        <f ca="1">IFERROR(__xludf.DUMMYFUNCTION("""COMPUTED_VALUE"""),"Model S 85")</f>
        <v>Model S 85</v>
      </c>
      <c r="D1491">
        <f ca="1">IFERROR(__xludf.DUMMYFUNCTION("""COMPUTED_VALUE"""),11896)</f>
        <v>11896</v>
      </c>
      <c r="E1491">
        <f ca="1">IFERROR(__xludf.DUMMYFUNCTION("""COMPUTED_VALUE"""),424)</f>
        <v>424</v>
      </c>
      <c r="F1491">
        <v>428</v>
      </c>
      <c r="G1491">
        <v>0.99065420560747663</v>
      </c>
      <c r="H1491">
        <v>7392</v>
      </c>
      <c r="I1491">
        <v>11896</v>
      </c>
      <c r="J1491">
        <v>7392</v>
      </c>
      <c r="K1491">
        <v>0.99197485275467934</v>
      </c>
      <c r="L1491">
        <f t="shared" ca="1" si="149"/>
        <v>263.46130399999998</v>
      </c>
      <c r="M1491">
        <f t="shared" si="150"/>
        <v>265.94678800000003</v>
      </c>
      <c r="N1491">
        <v>7392</v>
      </c>
      <c r="O1491">
        <f t="shared" ca="1" si="151"/>
        <v>0.99065420560747652</v>
      </c>
    </row>
    <row r="1492" spans="1:15" x14ac:dyDescent="0.2">
      <c r="A1492" t="str">
        <f ca="1">IFERROR(__xludf.DUMMYFUNCTION("""COMPUTED_VALUE"""),"mi")</f>
        <v>mi</v>
      </c>
      <c r="B1492" t="str">
        <f ca="1">IFERROR(__xludf.DUMMYFUNCTION("""COMPUTED_VALUE"""),"Model X 70D")</f>
        <v>Model X 70D</v>
      </c>
      <c r="C1492">
        <f ca="1">IFERROR(__xludf.DUMMYFUNCTION("""COMPUTED_VALUE"""),246)</f>
        <v>246</v>
      </c>
      <c r="D1492">
        <f ca="1">IFERROR(__xludf.DUMMYFUNCTION("""COMPUTED_VALUE"""),50000)</f>
        <v>50000</v>
      </c>
      <c r="E1492">
        <f ca="1">IFERROR(__xludf.DUMMYFUNCTION("""COMPUTED_VALUE"""),215)</f>
        <v>215</v>
      </c>
      <c r="F1492">
        <v>217</v>
      </c>
      <c r="G1492">
        <v>0.99078341013824889</v>
      </c>
      <c r="H1492">
        <v>50000</v>
      </c>
      <c r="I1492">
        <v>80467</v>
      </c>
      <c r="J1492">
        <v>50000</v>
      </c>
      <c r="K1492">
        <v>0.9508299456585334</v>
      </c>
      <c r="L1492">
        <f ca="1">IFERROR(__xludf.DUMMYFUNCTION("""COMPUTED_VALUE"""),215)</f>
        <v>215</v>
      </c>
      <c r="M1492">
        <v>217</v>
      </c>
      <c r="N1492">
        <v>50000</v>
      </c>
      <c r="O1492">
        <f t="shared" ca="1" si="151"/>
        <v>0.99078341013824889</v>
      </c>
    </row>
    <row r="1493" spans="1:15" x14ac:dyDescent="0.2">
      <c r="A1493" t="str">
        <f ca="1">IFERROR(__xludf.DUMMYFUNCTION("""COMPUTED_VALUE"""),"mi")</f>
        <v>mi</v>
      </c>
      <c r="B1493" t="str">
        <f ca="1">IFERROR(__xludf.DUMMYFUNCTION("""COMPUTED_VALUE"""),"Model S 60D")</f>
        <v>Model S 60D</v>
      </c>
      <c r="C1493">
        <f ca="1">IFERROR(__xludf.DUMMYFUNCTION("""COMPUTED_VALUE"""),219)</f>
        <v>219</v>
      </c>
      <c r="D1493">
        <f ca="1">IFERROR(__xludf.DUMMYFUNCTION("""COMPUTED_VALUE"""),12340)</f>
        <v>12340</v>
      </c>
      <c r="E1493">
        <f ca="1">IFERROR(__xludf.DUMMYFUNCTION("""COMPUTED_VALUE"""),217)</f>
        <v>217</v>
      </c>
      <c r="F1493">
        <v>219</v>
      </c>
      <c r="G1493">
        <v>0.9908675799086758</v>
      </c>
      <c r="H1493">
        <v>12340</v>
      </c>
      <c r="I1493">
        <v>19859</v>
      </c>
      <c r="J1493">
        <v>12340</v>
      </c>
      <c r="K1493">
        <v>0.98674614980721875</v>
      </c>
      <c r="L1493">
        <f ca="1">IFERROR(__xludf.DUMMYFUNCTION("""COMPUTED_VALUE"""),217)</f>
        <v>217</v>
      </c>
      <c r="M1493">
        <v>219</v>
      </c>
      <c r="N1493">
        <v>12340</v>
      </c>
      <c r="O1493">
        <f t="shared" ca="1" si="151"/>
        <v>0.9908675799086758</v>
      </c>
    </row>
    <row r="1494" spans="1:15" x14ac:dyDescent="0.2">
      <c r="A1494" t="str">
        <f ca="1">IFERROR(__xludf.DUMMYFUNCTION("""COMPUTED_VALUE"""),"km")</f>
        <v>km</v>
      </c>
      <c r="B1494" t="str">
        <f ca="1">IFERROR(__xludf.DUMMYFUNCTION("""COMPUTED_VALUE"""),"Model S 90D")</f>
        <v>Model S 90D</v>
      </c>
      <c r="C1494">
        <f ca="1">IFERROR(__xludf.DUMMYFUNCTION("""COMPUTED_VALUE"""),453)</f>
        <v>453</v>
      </c>
      <c r="D1494">
        <f ca="1">IFERROR(__xludf.DUMMYFUNCTION("""COMPUTED_VALUE"""),27000)</f>
        <v>27000</v>
      </c>
      <c r="E1494">
        <f ca="1">IFERROR(__xludf.DUMMYFUNCTION("""COMPUTED_VALUE"""),443)</f>
        <v>443</v>
      </c>
      <c r="F1494">
        <v>447</v>
      </c>
      <c r="G1494">
        <v>0.99105145413870244</v>
      </c>
      <c r="H1494">
        <v>16777</v>
      </c>
      <c r="I1494">
        <v>27000</v>
      </c>
      <c r="J1494">
        <v>16777</v>
      </c>
      <c r="K1494">
        <v>0.98215586999584537</v>
      </c>
      <c r="L1494">
        <f ca="1">E1494*0.621371</f>
        <v>275.26735300000001</v>
      </c>
      <c r="M1494">
        <f>F1494*0.621371</f>
        <v>277.752837</v>
      </c>
      <c r="N1494">
        <v>16777</v>
      </c>
      <c r="O1494">
        <f t="shared" ca="1" si="151"/>
        <v>0.99105145413870255</v>
      </c>
    </row>
    <row r="1495" spans="1:15" x14ac:dyDescent="0.2">
      <c r="A1495" t="str">
        <f ca="1">IFERROR(__xludf.DUMMYFUNCTION("""COMPUTED_VALUE"""),"mi")</f>
        <v>mi</v>
      </c>
      <c r="B1495" t="str">
        <f ca="1">IFERROR(__xludf.DUMMYFUNCTION("""COMPUTED_VALUE"""),"Model S 70D")</f>
        <v>Model S 70D</v>
      </c>
      <c r="D1495">
        <f ca="1">IFERROR(__xludf.DUMMYFUNCTION("""COMPUTED_VALUE"""),17165)</f>
        <v>17165</v>
      </c>
      <c r="E1495">
        <f ca="1">IFERROR(__xludf.DUMMYFUNCTION("""COMPUTED_VALUE"""),238)</f>
        <v>238</v>
      </c>
      <c r="F1495">
        <v>240</v>
      </c>
      <c r="G1495">
        <v>0.9916666666666667</v>
      </c>
      <c r="H1495">
        <v>17165</v>
      </c>
      <c r="I1495">
        <v>27624</v>
      </c>
      <c r="J1495">
        <v>17165</v>
      </c>
      <c r="K1495">
        <v>0.98175921826591395</v>
      </c>
      <c r="L1495">
        <f ca="1">IFERROR(__xludf.DUMMYFUNCTION("""COMPUTED_VALUE"""),238)</f>
        <v>238</v>
      </c>
      <c r="M1495">
        <v>240</v>
      </c>
      <c r="N1495">
        <v>17165</v>
      </c>
      <c r="O1495">
        <f t="shared" ca="1" si="151"/>
        <v>0.9916666666666667</v>
      </c>
    </row>
    <row r="1496" spans="1:15" x14ac:dyDescent="0.2">
      <c r="A1496" t="str">
        <f ca="1">IFERROR(__xludf.DUMMYFUNCTION("""COMPUTED_VALUE"""),"km")</f>
        <v>km</v>
      </c>
      <c r="B1496" t="str">
        <f ca="1">IFERROR(__xludf.DUMMYFUNCTION("""COMPUTED_VALUE"""),"Model S 70D")</f>
        <v>Model S 70D</v>
      </c>
      <c r="C1496">
        <f ca="1">IFERROR(__xludf.DUMMYFUNCTION("""COMPUTED_VALUE"""),361)</f>
        <v>361</v>
      </c>
      <c r="D1496">
        <f ca="1">IFERROR(__xludf.DUMMYFUNCTION("""COMPUTED_VALUE"""),17070)</f>
        <v>17070</v>
      </c>
      <c r="E1496">
        <f ca="1">IFERROR(__xludf.DUMMYFUNCTION("""COMPUTED_VALUE"""),357)</f>
        <v>357</v>
      </c>
      <c r="F1496">
        <v>360</v>
      </c>
      <c r="G1496">
        <v>0.9916666666666667</v>
      </c>
      <c r="H1496">
        <v>10607</v>
      </c>
      <c r="I1496">
        <v>17070</v>
      </c>
      <c r="J1496">
        <v>10607</v>
      </c>
      <c r="K1496">
        <v>0.98856432375185965</v>
      </c>
      <c r="L1496">
        <f t="shared" ref="L1496:M1502" ca="1" si="152">E1496*0.621371</f>
        <v>221.82944700000002</v>
      </c>
      <c r="M1496">
        <f t="shared" si="152"/>
        <v>223.69355999999999</v>
      </c>
      <c r="N1496">
        <v>10607</v>
      </c>
      <c r="O1496">
        <f t="shared" ca="1" si="151"/>
        <v>0.99166666666666681</v>
      </c>
    </row>
    <row r="1497" spans="1:15" x14ac:dyDescent="0.2">
      <c r="A1497" t="str">
        <f ca="1">IFERROR(__xludf.DUMMYFUNCTION("""COMPUTED_VALUE"""),"km")</f>
        <v>km</v>
      </c>
      <c r="B1497" t="str">
        <f ca="1">IFERROR(__xludf.DUMMYFUNCTION("""COMPUTED_VALUE"""),"Model S 70D")</f>
        <v>Model S 70D</v>
      </c>
      <c r="D1497">
        <f ca="1">IFERROR(__xludf.DUMMYFUNCTION("""COMPUTED_VALUE"""),6316)</f>
        <v>6316</v>
      </c>
      <c r="E1497">
        <f ca="1">IFERROR(__xludf.DUMMYFUNCTION("""COMPUTED_VALUE"""),357)</f>
        <v>357</v>
      </c>
      <c r="F1497">
        <v>360</v>
      </c>
      <c r="G1497">
        <v>0.9916666666666667</v>
      </c>
      <c r="H1497">
        <v>3925</v>
      </c>
      <c r="I1497">
        <v>6316</v>
      </c>
      <c r="J1497">
        <v>3925</v>
      </c>
      <c r="K1497">
        <v>0.99570741770692539</v>
      </c>
      <c r="L1497">
        <f t="shared" ca="1" si="152"/>
        <v>221.82944700000002</v>
      </c>
      <c r="M1497">
        <f t="shared" si="152"/>
        <v>223.69355999999999</v>
      </c>
      <c r="N1497">
        <v>3925</v>
      </c>
      <c r="O1497">
        <f t="shared" ca="1" si="151"/>
        <v>0.99166666666666681</v>
      </c>
    </row>
    <row r="1498" spans="1:15" x14ac:dyDescent="0.2">
      <c r="A1498" t="str">
        <f ca="1">IFERROR(__xludf.DUMMYFUNCTION("""COMPUTED_VALUE"""),"km")</f>
        <v>km</v>
      </c>
      <c r="B1498" t="str">
        <f ca="1">IFERROR(__xludf.DUMMYFUNCTION("""COMPUTED_VALUE"""),"Model S 70D")</f>
        <v>Model S 70D</v>
      </c>
      <c r="C1498">
        <f ca="1">IFERROR(__xludf.DUMMYFUNCTION("""COMPUTED_VALUE"""),365)</f>
        <v>365</v>
      </c>
      <c r="D1498">
        <f ca="1">IFERROR(__xludf.DUMMYFUNCTION("""COMPUTED_VALUE"""),27355)</f>
        <v>27355</v>
      </c>
      <c r="E1498">
        <f ca="1">IFERROR(__xludf.DUMMYFUNCTION("""COMPUTED_VALUE"""),357)</f>
        <v>357</v>
      </c>
      <c r="F1498">
        <v>360</v>
      </c>
      <c r="G1498">
        <v>0.9916666666666667</v>
      </c>
      <c r="H1498">
        <v>16998</v>
      </c>
      <c r="I1498">
        <v>27355</v>
      </c>
      <c r="J1498">
        <v>16998</v>
      </c>
      <c r="K1498">
        <v>0.9819301226206083</v>
      </c>
      <c r="L1498">
        <f t="shared" ca="1" si="152"/>
        <v>221.82944700000002</v>
      </c>
      <c r="M1498">
        <f t="shared" si="152"/>
        <v>223.69355999999999</v>
      </c>
      <c r="N1498">
        <v>16998</v>
      </c>
      <c r="O1498">
        <f t="shared" ca="1" si="151"/>
        <v>0.99166666666666681</v>
      </c>
    </row>
    <row r="1499" spans="1:15" x14ac:dyDescent="0.2">
      <c r="A1499" t="str">
        <f ca="1">IFERROR(__xludf.DUMMYFUNCTION("""COMPUTED_VALUE"""),"km")</f>
        <v>km</v>
      </c>
      <c r="B1499" t="str">
        <f ca="1">IFERROR(__xludf.DUMMYFUNCTION("""COMPUTED_VALUE"""),"Model 3 LR AWD")</f>
        <v>Model 3 LR AWD</v>
      </c>
      <c r="C1499">
        <f ca="1">IFERROR(__xludf.DUMMYFUNCTION("""COMPUTED_VALUE"""),499)</f>
        <v>499</v>
      </c>
      <c r="D1499">
        <f ca="1">IFERROR(__xludf.DUMMYFUNCTION("""COMPUTED_VALUE"""),6352)</f>
        <v>6352</v>
      </c>
      <c r="E1499">
        <f ca="1">IFERROR(__xludf.DUMMYFUNCTION("""COMPUTED_VALUE"""),495)</f>
        <v>495</v>
      </c>
      <c r="F1499">
        <v>499</v>
      </c>
      <c r="G1499">
        <v>0.99198396793587174</v>
      </c>
      <c r="H1499">
        <v>3947</v>
      </c>
      <c r="I1499">
        <v>6352</v>
      </c>
      <c r="J1499">
        <v>3947</v>
      </c>
      <c r="K1499">
        <v>0.99568315639426486</v>
      </c>
      <c r="L1499">
        <f t="shared" ca="1" si="152"/>
        <v>307.57864499999999</v>
      </c>
      <c r="M1499">
        <f t="shared" si="152"/>
        <v>310.06412899999998</v>
      </c>
      <c r="N1499">
        <v>3947</v>
      </c>
      <c r="O1499">
        <f t="shared" ca="1" si="151"/>
        <v>0.99198396793587174</v>
      </c>
    </row>
    <row r="1500" spans="1:15" x14ac:dyDescent="0.2">
      <c r="A1500" t="str">
        <f ca="1">IFERROR(__xludf.DUMMYFUNCTION("""COMPUTED_VALUE"""),"km")</f>
        <v>km</v>
      </c>
      <c r="B1500" t="str">
        <f ca="1">IFERROR(__xludf.DUMMYFUNCTION("""COMPUTED_VALUE"""),"Model S 75")</f>
        <v>Model S 75</v>
      </c>
      <c r="C1500">
        <f ca="1">IFERROR(__xludf.DUMMYFUNCTION("""COMPUTED_VALUE"""),380)</f>
        <v>380</v>
      </c>
      <c r="D1500">
        <f ca="1">IFERROR(__xludf.DUMMYFUNCTION("""COMPUTED_VALUE"""),18800)</f>
        <v>18800</v>
      </c>
      <c r="E1500">
        <f ca="1">IFERROR(__xludf.DUMMYFUNCTION("""COMPUTED_VALUE"""),372)</f>
        <v>372</v>
      </c>
      <c r="F1500">
        <v>375</v>
      </c>
      <c r="G1500">
        <v>0.99199999999999999</v>
      </c>
      <c r="H1500">
        <v>11682</v>
      </c>
      <c r="I1500">
        <v>18800</v>
      </c>
      <c r="J1500">
        <v>11682</v>
      </c>
      <c r="K1500">
        <v>0.9874348471319494</v>
      </c>
      <c r="L1500">
        <f t="shared" ca="1" si="152"/>
        <v>231.150012</v>
      </c>
      <c r="M1500">
        <f t="shared" si="152"/>
        <v>233.01412500000001</v>
      </c>
      <c r="N1500">
        <v>11682</v>
      </c>
      <c r="O1500">
        <f t="shared" ca="1" si="151"/>
        <v>0.99199999999999999</v>
      </c>
    </row>
    <row r="1501" spans="1:15" x14ac:dyDescent="0.2">
      <c r="A1501" t="str">
        <f ca="1">IFERROR(__xludf.DUMMYFUNCTION("""COMPUTED_VALUE"""),"km")</f>
        <v>km</v>
      </c>
      <c r="B1501" t="str">
        <f ca="1">IFERROR(__xludf.DUMMYFUNCTION("""COMPUTED_VALUE"""),"Model S 75")</f>
        <v>Model S 75</v>
      </c>
      <c r="C1501">
        <f ca="1">IFERROR(__xludf.DUMMYFUNCTION("""COMPUTED_VALUE"""),384)</f>
        <v>384</v>
      </c>
      <c r="D1501">
        <f ca="1">IFERROR(__xludf.DUMMYFUNCTION("""COMPUTED_VALUE"""),32600)</f>
        <v>32600</v>
      </c>
      <c r="E1501">
        <f ca="1">IFERROR(__xludf.DUMMYFUNCTION("""COMPUTED_VALUE"""),372)</f>
        <v>372</v>
      </c>
      <c r="F1501">
        <v>375</v>
      </c>
      <c r="G1501">
        <v>0.99199999999999999</v>
      </c>
      <c r="H1501">
        <v>20257</v>
      </c>
      <c r="I1501">
        <v>32600</v>
      </c>
      <c r="J1501">
        <v>20257</v>
      </c>
      <c r="K1501">
        <v>0.97862194488347898</v>
      </c>
      <c r="L1501">
        <f t="shared" ca="1" si="152"/>
        <v>231.150012</v>
      </c>
      <c r="M1501">
        <f t="shared" si="152"/>
        <v>233.01412500000001</v>
      </c>
      <c r="N1501">
        <v>20257</v>
      </c>
      <c r="O1501">
        <f t="shared" ca="1" si="151"/>
        <v>0.99199999999999999</v>
      </c>
    </row>
    <row r="1502" spans="1:15" x14ac:dyDescent="0.2">
      <c r="A1502" t="str">
        <f ca="1">IFERROR(__xludf.DUMMYFUNCTION("""COMPUTED_VALUE"""),"km")</f>
        <v>km</v>
      </c>
      <c r="B1502" t="str">
        <f ca="1">IFERROR(__xludf.DUMMYFUNCTION("""COMPUTED_VALUE"""),"Model S 75")</f>
        <v>Model S 75</v>
      </c>
      <c r="D1502">
        <f ca="1">IFERROR(__xludf.DUMMYFUNCTION("""COMPUTED_VALUE"""),14950)</f>
        <v>14950</v>
      </c>
      <c r="E1502">
        <f ca="1">IFERROR(__xludf.DUMMYFUNCTION("""COMPUTED_VALUE"""),372)</f>
        <v>372</v>
      </c>
      <c r="F1502">
        <v>375</v>
      </c>
      <c r="G1502">
        <v>0.99199999999999999</v>
      </c>
      <c r="H1502">
        <v>9289</v>
      </c>
      <c r="I1502">
        <v>14950</v>
      </c>
      <c r="J1502">
        <v>9289</v>
      </c>
      <c r="K1502">
        <v>0.98995586714421702</v>
      </c>
      <c r="L1502">
        <f t="shared" ca="1" si="152"/>
        <v>231.150012</v>
      </c>
      <c r="M1502">
        <f t="shared" si="152"/>
        <v>233.01412500000001</v>
      </c>
      <c r="N1502">
        <v>9289</v>
      </c>
      <c r="O1502">
        <f t="shared" ca="1" si="151"/>
        <v>0.99199999999999999</v>
      </c>
    </row>
    <row r="1503" spans="1:15" x14ac:dyDescent="0.2">
      <c r="A1503" t="str">
        <f ca="1">IFERROR(__xludf.DUMMYFUNCTION("""COMPUTED_VALUE"""),"mi")</f>
        <v>mi</v>
      </c>
      <c r="B1503" t="str">
        <f ca="1">IFERROR(__xludf.DUMMYFUNCTION("""COMPUTED_VALUE"""),"Model S P85D")</f>
        <v>Model S P85D</v>
      </c>
      <c r="C1503">
        <f ca="1">IFERROR(__xludf.DUMMYFUNCTION("""COMPUTED_VALUE"""),256)</f>
        <v>256</v>
      </c>
      <c r="D1503">
        <f ca="1">IFERROR(__xludf.DUMMYFUNCTION("""COMPUTED_VALUE"""),13588)</f>
        <v>13588</v>
      </c>
      <c r="E1503">
        <f ca="1">IFERROR(__xludf.DUMMYFUNCTION("""COMPUTED_VALUE"""),251)</f>
        <v>251</v>
      </c>
      <c r="F1503">
        <v>253</v>
      </c>
      <c r="G1503">
        <v>0.9920948616600791</v>
      </c>
      <c r="H1503">
        <v>13588</v>
      </c>
      <c r="I1503">
        <v>21868</v>
      </c>
      <c r="J1503">
        <v>13588</v>
      </c>
      <c r="K1503">
        <v>0.98544528366571071</v>
      </c>
      <c r="L1503">
        <f ca="1">IFERROR(__xludf.DUMMYFUNCTION("""COMPUTED_VALUE"""),251)</f>
        <v>251</v>
      </c>
      <c r="M1503">
        <v>253</v>
      </c>
      <c r="N1503">
        <v>13588</v>
      </c>
      <c r="O1503">
        <f t="shared" ca="1" si="151"/>
        <v>0.9920948616600791</v>
      </c>
    </row>
    <row r="1504" spans="1:15" x14ac:dyDescent="0.2">
      <c r="A1504" t="str">
        <f ca="1">IFERROR(__xludf.DUMMYFUNCTION("""COMPUTED_VALUE"""),"km")</f>
        <v>km</v>
      </c>
      <c r="B1504" t="str">
        <f ca="1">IFERROR(__xludf.DUMMYFUNCTION("""COMPUTED_VALUE"""),"Model S P85+")</f>
        <v>Model S P85+</v>
      </c>
      <c r="D1504">
        <f ca="1">IFERROR(__xludf.DUMMYFUNCTION("""COMPUTED_VALUE"""),43500)</f>
        <v>43500</v>
      </c>
      <c r="E1504">
        <f ca="1">IFERROR(__xludf.DUMMYFUNCTION("""COMPUTED_VALUE"""),392)</f>
        <v>392</v>
      </c>
      <c r="F1504">
        <v>395</v>
      </c>
      <c r="G1504">
        <v>0.9924050632911392</v>
      </c>
      <c r="H1504">
        <v>27030</v>
      </c>
      <c r="I1504">
        <v>43500</v>
      </c>
      <c r="J1504">
        <v>27030</v>
      </c>
      <c r="K1504">
        <v>0.97191073942701633</v>
      </c>
      <c r="L1504">
        <f t="shared" ref="L1504:M1508" ca="1" si="153">E1504*0.621371</f>
        <v>243.57743200000002</v>
      </c>
      <c r="M1504">
        <f t="shared" si="153"/>
        <v>245.44154499999999</v>
      </c>
      <c r="N1504">
        <v>27030</v>
      </c>
      <c r="O1504">
        <f t="shared" ca="1" si="151"/>
        <v>0.99240506329113931</v>
      </c>
    </row>
    <row r="1505" spans="1:15" x14ac:dyDescent="0.2">
      <c r="A1505" t="str">
        <f ca="1">IFERROR(__xludf.DUMMYFUNCTION("""COMPUTED_VALUE"""),"km")</f>
        <v>km</v>
      </c>
      <c r="B1505" t="str">
        <f ca="1">IFERROR(__xludf.DUMMYFUNCTION("""COMPUTED_VALUE"""),"Model S 85")</f>
        <v>Model S 85</v>
      </c>
      <c r="D1505">
        <f ca="1">IFERROR(__xludf.DUMMYFUNCTION("""COMPUTED_VALUE"""),12199)</f>
        <v>12199</v>
      </c>
      <c r="E1505">
        <f ca="1">IFERROR(__xludf.DUMMYFUNCTION("""COMPUTED_VALUE"""),392)</f>
        <v>392</v>
      </c>
      <c r="F1505">
        <v>395</v>
      </c>
      <c r="G1505">
        <v>0.9924050632911392</v>
      </c>
      <c r="H1505">
        <v>7580</v>
      </c>
      <c r="I1505">
        <v>12199</v>
      </c>
      <c r="J1505">
        <v>7580</v>
      </c>
      <c r="K1505">
        <v>0.99177378388754378</v>
      </c>
      <c r="L1505">
        <f t="shared" ca="1" si="153"/>
        <v>243.57743200000002</v>
      </c>
      <c r="M1505">
        <f t="shared" si="153"/>
        <v>245.44154499999999</v>
      </c>
      <c r="N1505">
        <v>7580</v>
      </c>
      <c r="O1505">
        <f t="shared" ca="1" si="151"/>
        <v>0.99240506329113931</v>
      </c>
    </row>
    <row r="1506" spans="1:15" x14ac:dyDescent="0.2">
      <c r="A1506" t="str">
        <f ca="1">IFERROR(__xludf.DUMMYFUNCTION("""COMPUTED_VALUE"""),"km")</f>
        <v>km</v>
      </c>
      <c r="B1506" t="str">
        <f ca="1">IFERROR(__xludf.DUMMYFUNCTION("""COMPUTED_VALUE"""),"Model S 85")</f>
        <v>Model S 85</v>
      </c>
      <c r="D1506">
        <f ca="1">IFERROR(__xludf.DUMMYFUNCTION("""COMPUTED_VALUE"""),4397)</f>
        <v>4397</v>
      </c>
      <c r="E1506">
        <f ca="1">IFERROR(__xludf.DUMMYFUNCTION("""COMPUTED_VALUE"""),392)</f>
        <v>392</v>
      </c>
      <c r="F1506">
        <v>395</v>
      </c>
      <c r="G1506">
        <v>0.9924050632911392</v>
      </c>
      <c r="H1506">
        <v>2732</v>
      </c>
      <c r="I1506">
        <v>4397</v>
      </c>
      <c r="J1506">
        <v>2732</v>
      </c>
      <c r="K1506">
        <v>0.99700405904008527</v>
      </c>
      <c r="L1506">
        <f t="shared" ca="1" si="153"/>
        <v>243.57743200000002</v>
      </c>
      <c r="M1506">
        <f t="shared" si="153"/>
        <v>245.44154499999999</v>
      </c>
      <c r="N1506">
        <v>2732</v>
      </c>
      <c r="O1506">
        <f t="shared" ca="1" si="151"/>
        <v>0.99240506329113931</v>
      </c>
    </row>
    <row r="1507" spans="1:15" x14ac:dyDescent="0.2">
      <c r="A1507" t="str">
        <f ca="1">IFERROR(__xludf.DUMMYFUNCTION("""COMPUTED_VALUE"""),"km")</f>
        <v>km</v>
      </c>
      <c r="B1507" t="str">
        <f ca="1">IFERROR(__xludf.DUMMYFUNCTION("""COMPUTED_VALUE"""),"Model S 85")</f>
        <v>Model S 85</v>
      </c>
      <c r="D1507">
        <f ca="1">IFERROR(__xludf.DUMMYFUNCTION("""COMPUTED_VALUE"""),6053)</f>
        <v>6053</v>
      </c>
      <c r="E1507">
        <f ca="1">IFERROR(__xludf.DUMMYFUNCTION("""COMPUTED_VALUE"""),392)</f>
        <v>392</v>
      </c>
      <c r="F1507">
        <v>395</v>
      </c>
      <c r="G1507">
        <v>0.9924050632911392</v>
      </c>
      <c r="H1507">
        <v>3761</v>
      </c>
      <c r="I1507">
        <v>6053</v>
      </c>
      <c r="J1507">
        <v>3761</v>
      </c>
      <c r="K1507">
        <v>0.99588473093617869</v>
      </c>
      <c r="L1507">
        <f t="shared" ca="1" si="153"/>
        <v>243.57743200000002</v>
      </c>
      <c r="M1507">
        <f t="shared" si="153"/>
        <v>245.44154499999999</v>
      </c>
      <c r="N1507">
        <v>3761</v>
      </c>
      <c r="O1507">
        <f t="shared" ca="1" si="151"/>
        <v>0.99240506329113931</v>
      </c>
    </row>
    <row r="1508" spans="1:15" x14ac:dyDescent="0.2">
      <c r="A1508" t="str">
        <f ca="1">IFERROR(__xludf.DUMMYFUNCTION("""COMPUTED_VALUE"""),"km")</f>
        <v>km</v>
      </c>
      <c r="B1508" t="str">
        <f ca="1">IFERROR(__xludf.DUMMYFUNCTION("""COMPUTED_VALUE"""),"Model S 85")</f>
        <v>Model S 85</v>
      </c>
      <c r="D1508">
        <f ca="1">IFERROR(__xludf.DUMMYFUNCTION("""COMPUTED_VALUE"""),32000)</f>
        <v>32000</v>
      </c>
      <c r="E1508">
        <f ca="1">IFERROR(__xludf.DUMMYFUNCTION("""COMPUTED_VALUE"""),392)</f>
        <v>392</v>
      </c>
      <c r="F1508">
        <v>395</v>
      </c>
      <c r="G1508">
        <v>0.9924050632911392</v>
      </c>
      <c r="H1508">
        <v>19884</v>
      </c>
      <c r="I1508">
        <v>32000</v>
      </c>
      <c r="J1508">
        <v>19884</v>
      </c>
      <c r="K1508">
        <v>0.97899780074085685</v>
      </c>
      <c r="L1508">
        <f t="shared" ca="1" si="153"/>
        <v>243.57743200000002</v>
      </c>
      <c r="M1508">
        <f t="shared" si="153"/>
        <v>245.44154499999999</v>
      </c>
      <c r="N1508">
        <v>19884</v>
      </c>
      <c r="O1508">
        <f t="shared" ca="1" si="151"/>
        <v>0.99240506329113931</v>
      </c>
    </row>
    <row r="1509" spans="1:15" x14ac:dyDescent="0.2">
      <c r="A1509" t="str">
        <f ca="1">IFERROR(__xludf.DUMMYFUNCTION("""COMPUTED_VALUE"""),"mi")</f>
        <v>mi</v>
      </c>
      <c r="B1509" t="str">
        <f ca="1">IFERROR(__xludf.DUMMYFUNCTION("""COMPUTED_VALUE"""),"Model S 85")</f>
        <v>Model S 85</v>
      </c>
      <c r="C1509">
        <f ca="1">IFERROR(__xludf.DUMMYFUNCTION("""COMPUTED_VALUE"""),265)</f>
        <v>265</v>
      </c>
      <c r="D1509">
        <f ca="1">IFERROR(__xludf.DUMMYFUNCTION("""COMPUTED_VALUE"""),22300)</f>
        <v>22300</v>
      </c>
      <c r="E1509">
        <f ca="1">IFERROR(__xludf.DUMMYFUNCTION("""COMPUTED_VALUE"""),264)</f>
        <v>264</v>
      </c>
      <c r="F1509">
        <v>266</v>
      </c>
      <c r="G1509">
        <v>0.99248120300751874</v>
      </c>
      <c r="H1509">
        <v>22300</v>
      </c>
      <c r="I1509">
        <v>35888</v>
      </c>
      <c r="J1509">
        <v>22300</v>
      </c>
      <c r="K1509">
        <v>0.97657413658348879</v>
      </c>
      <c r="L1509">
        <f ca="1">IFERROR(__xludf.DUMMYFUNCTION("""COMPUTED_VALUE"""),264)</f>
        <v>264</v>
      </c>
      <c r="M1509">
        <v>266</v>
      </c>
      <c r="N1509">
        <v>22300</v>
      </c>
      <c r="O1509">
        <f t="shared" ca="1" si="151"/>
        <v>0.99248120300751874</v>
      </c>
    </row>
    <row r="1510" spans="1:15" x14ac:dyDescent="0.2">
      <c r="A1510" t="str">
        <f ca="1">IFERROR(__xludf.DUMMYFUNCTION("""COMPUTED_VALUE"""),"mi")</f>
        <v>mi</v>
      </c>
      <c r="B1510" t="str">
        <f ca="1">IFERROR(__xludf.DUMMYFUNCTION("""COMPUTED_VALUE"""),"Model S 85")</f>
        <v>Model S 85</v>
      </c>
      <c r="C1510">
        <f ca="1">IFERROR(__xludf.DUMMYFUNCTION("""COMPUTED_VALUE"""),265)</f>
        <v>265</v>
      </c>
      <c r="D1510">
        <f ca="1">IFERROR(__xludf.DUMMYFUNCTION("""COMPUTED_VALUE"""),32000)</f>
        <v>32000</v>
      </c>
      <c r="E1510">
        <f ca="1">IFERROR(__xludf.DUMMYFUNCTION("""COMPUTED_VALUE"""),264)</f>
        <v>264</v>
      </c>
      <c r="F1510">
        <v>266</v>
      </c>
      <c r="G1510">
        <v>0.99248120300751874</v>
      </c>
      <c r="H1510">
        <v>32000</v>
      </c>
      <c r="I1510">
        <v>51499</v>
      </c>
      <c r="J1510">
        <v>32000</v>
      </c>
      <c r="K1510">
        <v>0.96712765730058714</v>
      </c>
      <c r="L1510">
        <f ca="1">IFERROR(__xludf.DUMMYFUNCTION("""COMPUTED_VALUE"""),264)</f>
        <v>264</v>
      </c>
      <c r="M1510">
        <v>266</v>
      </c>
      <c r="N1510">
        <v>32000</v>
      </c>
      <c r="O1510">
        <f t="shared" ca="1" si="151"/>
        <v>0.99248120300751874</v>
      </c>
    </row>
    <row r="1511" spans="1:15" x14ac:dyDescent="0.2">
      <c r="A1511" t="str">
        <f ca="1">IFERROR(__xludf.DUMMYFUNCTION("""COMPUTED_VALUE"""),"mi")</f>
        <v>mi</v>
      </c>
      <c r="B1511" t="str">
        <f ca="1">IFERROR(__xludf.DUMMYFUNCTION("""COMPUTED_VALUE"""),"Model S 85D")</f>
        <v>Model S 85D</v>
      </c>
      <c r="D1511">
        <f ca="1">IFERROR(__xludf.DUMMYFUNCTION("""COMPUTED_VALUE"""),18642)</f>
        <v>18642</v>
      </c>
      <c r="E1511">
        <f ca="1">IFERROR(__xludf.DUMMYFUNCTION("""COMPUTED_VALUE"""),268)</f>
        <v>268</v>
      </c>
      <c r="F1511">
        <v>270</v>
      </c>
      <c r="G1511">
        <v>0.99259259259259258</v>
      </c>
      <c r="H1511">
        <v>18642</v>
      </c>
      <c r="I1511">
        <v>30001</v>
      </c>
      <c r="J1511">
        <v>18642</v>
      </c>
      <c r="K1511">
        <v>0.98025484526899875</v>
      </c>
      <c r="L1511">
        <f ca="1">IFERROR(__xludf.DUMMYFUNCTION("""COMPUTED_VALUE"""),268)</f>
        <v>268</v>
      </c>
      <c r="M1511">
        <v>270</v>
      </c>
      <c r="N1511">
        <v>18642</v>
      </c>
      <c r="O1511">
        <f t="shared" ca="1" si="151"/>
        <v>0.99259259259259258</v>
      </c>
    </row>
    <row r="1512" spans="1:15" x14ac:dyDescent="0.2">
      <c r="A1512" t="str">
        <f ca="1">IFERROR(__xludf.DUMMYFUNCTION("""COMPUTED_VALUE"""),"mi")</f>
        <v>mi</v>
      </c>
      <c r="B1512" t="str">
        <f ca="1">IFERROR(__xludf.DUMMYFUNCTION("""COMPUTED_VALUE"""),"Model S 85D")</f>
        <v>Model S 85D</v>
      </c>
      <c r="D1512">
        <f ca="1">IFERROR(__xludf.DUMMYFUNCTION("""COMPUTED_VALUE"""),12236)</f>
        <v>12236</v>
      </c>
      <c r="E1512">
        <f ca="1">IFERROR(__xludf.DUMMYFUNCTION("""COMPUTED_VALUE"""),268)</f>
        <v>268</v>
      </c>
      <c r="F1512">
        <v>270</v>
      </c>
      <c r="G1512">
        <v>0.99259259259259258</v>
      </c>
      <c r="H1512">
        <v>12236</v>
      </c>
      <c r="I1512">
        <v>19692</v>
      </c>
      <c r="J1512">
        <v>12236</v>
      </c>
      <c r="K1512">
        <v>0.98685461831534282</v>
      </c>
      <c r="L1512">
        <f ca="1">IFERROR(__xludf.DUMMYFUNCTION("""COMPUTED_VALUE"""),268)</f>
        <v>268</v>
      </c>
      <c r="M1512">
        <v>270</v>
      </c>
      <c r="N1512">
        <v>12236</v>
      </c>
      <c r="O1512">
        <f t="shared" ca="1" si="151"/>
        <v>0.99259259259259258</v>
      </c>
    </row>
    <row r="1513" spans="1:15" x14ac:dyDescent="0.2">
      <c r="A1513" t="str">
        <f ca="1">IFERROR(__xludf.DUMMYFUNCTION("""COMPUTED_VALUE"""),"km")</f>
        <v>km</v>
      </c>
      <c r="B1513" t="str">
        <f ca="1">IFERROR(__xludf.DUMMYFUNCTION("""COMPUTED_VALUE"""),"Model S 85D")</f>
        <v>Model S 85D</v>
      </c>
      <c r="D1513">
        <f ca="1">IFERROR(__xludf.DUMMYFUNCTION("""COMPUTED_VALUE"""),64476)</f>
        <v>64476</v>
      </c>
      <c r="E1513">
        <f ca="1">IFERROR(__xludf.DUMMYFUNCTION("""COMPUTED_VALUE"""),422)</f>
        <v>422</v>
      </c>
      <c r="F1513">
        <v>425</v>
      </c>
      <c r="G1513">
        <v>0.99294117647058822</v>
      </c>
      <c r="H1513">
        <v>40064</v>
      </c>
      <c r="I1513">
        <v>64476</v>
      </c>
      <c r="J1513">
        <v>40064</v>
      </c>
      <c r="K1513">
        <v>0.95962664487230209</v>
      </c>
      <c r="L1513">
        <f t="shared" ref="L1513:L1521" ca="1" si="154">E1513*0.621371</f>
        <v>262.21856200000002</v>
      </c>
      <c r="M1513">
        <f t="shared" ref="M1513:M1521" si="155">F1513*0.621371</f>
        <v>264.08267499999999</v>
      </c>
      <c r="N1513">
        <v>40064</v>
      </c>
      <c r="O1513">
        <f t="shared" ca="1" si="151"/>
        <v>0.99294117647058833</v>
      </c>
    </row>
    <row r="1514" spans="1:15" x14ac:dyDescent="0.2">
      <c r="A1514" t="str">
        <f ca="1">IFERROR(__xludf.DUMMYFUNCTION("""COMPUTED_VALUE"""),"km")</f>
        <v>km</v>
      </c>
      <c r="B1514" t="str">
        <f ca="1">IFERROR(__xludf.DUMMYFUNCTION("""COMPUTED_VALUE"""),"Model S 60")</f>
        <v>Model S 60</v>
      </c>
      <c r="D1514">
        <f ca="1">IFERROR(__xludf.DUMMYFUNCTION("""COMPUTED_VALUE"""),88563)</f>
        <v>88563</v>
      </c>
      <c r="E1514">
        <f ca="1">IFERROR(__xludf.DUMMYFUNCTION("""COMPUTED_VALUE"""),282)</f>
        <v>282</v>
      </c>
      <c r="F1514">
        <v>284</v>
      </c>
      <c r="G1514">
        <v>0.99295774647887325</v>
      </c>
      <c r="H1514">
        <v>55030</v>
      </c>
      <c r="I1514">
        <v>88563</v>
      </c>
      <c r="J1514">
        <v>55030</v>
      </c>
      <c r="K1514">
        <v>0.94656692102139139</v>
      </c>
      <c r="L1514">
        <f t="shared" ca="1" si="154"/>
        <v>175.22662199999999</v>
      </c>
      <c r="M1514">
        <f t="shared" si="155"/>
        <v>176.46936400000001</v>
      </c>
      <c r="N1514">
        <v>55030</v>
      </c>
      <c r="O1514">
        <f t="shared" ca="1" si="151"/>
        <v>0.99295774647887314</v>
      </c>
    </row>
    <row r="1515" spans="1:15" x14ac:dyDescent="0.2">
      <c r="A1515" t="str">
        <f ca="1">IFERROR(__xludf.DUMMYFUNCTION("""COMPUTED_VALUE"""),"km")</f>
        <v>km</v>
      </c>
      <c r="B1515" t="str">
        <f ca="1">IFERROR(__xludf.DUMMYFUNCTION("""COMPUTED_VALUE"""),"Model S 60")</f>
        <v>Model S 60</v>
      </c>
      <c r="D1515">
        <f ca="1">IFERROR(__xludf.DUMMYFUNCTION("""COMPUTED_VALUE"""),23373)</f>
        <v>23373</v>
      </c>
      <c r="E1515">
        <f ca="1">IFERROR(__xludf.DUMMYFUNCTION("""COMPUTED_VALUE"""),282)</f>
        <v>282</v>
      </c>
      <c r="F1515">
        <v>284</v>
      </c>
      <c r="G1515">
        <v>0.99295774647887325</v>
      </c>
      <c r="H1515">
        <v>14523</v>
      </c>
      <c r="I1515">
        <v>23373</v>
      </c>
      <c r="J1515">
        <v>14523</v>
      </c>
      <c r="K1515">
        <v>0.98447561726673161</v>
      </c>
      <c r="L1515">
        <f t="shared" ca="1" si="154"/>
        <v>175.22662199999999</v>
      </c>
      <c r="M1515">
        <f t="shared" si="155"/>
        <v>176.46936400000001</v>
      </c>
      <c r="N1515">
        <v>14523</v>
      </c>
      <c r="O1515">
        <f t="shared" ca="1" si="151"/>
        <v>0.99295774647887314</v>
      </c>
    </row>
    <row r="1516" spans="1:15" x14ac:dyDescent="0.2">
      <c r="A1516" t="str">
        <f ca="1">IFERROR(__xludf.DUMMYFUNCTION("""COMPUTED_VALUE"""),"km")</f>
        <v>km</v>
      </c>
      <c r="B1516" t="str">
        <f ca="1">IFERROR(__xludf.DUMMYFUNCTION("""COMPUTED_VALUE"""),"Model S 85D")</f>
        <v>Model S 85D</v>
      </c>
      <c r="C1516">
        <f ca="1">IFERROR(__xludf.DUMMYFUNCTION("""COMPUTED_VALUE"""),435)</f>
        <v>435</v>
      </c>
      <c r="D1516">
        <f ca="1">IFERROR(__xludf.DUMMYFUNCTION("""COMPUTED_VALUE"""),19550)</f>
        <v>19550</v>
      </c>
      <c r="E1516">
        <f ca="1">IFERROR(__xludf.DUMMYFUNCTION("""COMPUTED_VALUE"""),432)</f>
        <v>432</v>
      </c>
      <c r="F1516">
        <v>435</v>
      </c>
      <c r="G1516">
        <v>0.99310344827586206</v>
      </c>
      <c r="H1516">
        <v>12148</v>
      </c>
      <c r="I1516">
        <v>19550</v>
      </c>
      <c r="J1516">
        <v>12148</v>
      </c>
      <c r="K1516">
        <v>0.9869468891712766</v>
      </c>
      <c r="L1516">
        <f t="shared" ca="1" si="154"/>
        <v>268.43227200000001</v>
      </c>
      <c r="M1516">
        <f t="shared" si="155"/>
        <v>270.29638499999999</v>
      </c>
      <c r="N1516">
        <v>12148</v>
      </c>
      <c r="O1516">
        <f t="shared" ca="1" si="151"/>
        <v>0.99310344827586217</v>
      </c>
    </row>
    <row r="1517" spans="1:15" x14ac:dyDescent="0.2">
      <c r="A1517" t="str">
        <f ca="1">IFERROR(__xludf.DUMMYFUNCTION("""COMPUTED_VALUE"""),"km")</f>
        <v>km</v>
      </c>
      <c r="B1517" t="str">
        <f ca="1">IFERROR(__xludf.DUMMYFUNCTION("""COMPUTED_VALUE"""),"Model S 90D")</f>
        <v>Model S 90D</v>
      </c>
      <c r="C1517">
        <f ca="1">IFERROR(__xludf.DUMMYFUNCTION("""COMPUTED_VALUE"""),455)</f>
        <v>455</v>
      </c>
      <c r="D1517">
        <f ca="1">IFERROR(__xludf.DUMMYFUNCTION("""COMPUTED_VALUE"""),42500)</f>
        <v>42500</v>
      </c>
      <c r="E1517">
        <f ca="1">IFERROR(__xludf.DUMMYFUNCTION("""COMPUTED_VALUE"""),444)</f>
        <v>444</v>
      </c>
      <c r="F1517">
        <v>447</v>
      </c>
      <c r="G1517">
        <v>0.99328859060402686</v>
      </c>
      <c r="H1517">
        <v>26408</v>
      </c>
      <c r="I1517">
        <v>42500</v>
      </c>
      <c r="J1517">
        <v>26408</v>
      </c>
      <c r="K1517">
        <v>0.97251718151619582</v>
      </c>
      <c r="L1517">
        <f t="shared" ca="1" si="154"/>
        <v>275.88872400000002</v>
      </c>
      <c r="M1517">
        <f t="shared" si="155"/>
        <v>277.752837</v>
      </c>
      <c r="N1517">
        <v>26408</v>
      </c>
      <c r="O1517">
        <f t="shared" ca="1" si="151"/>
        <v>0.99328859060402697</v>
      </c>
    </row>
    <row r="1518" spans="1:15" x14ac:dyDescent="0.2">
      <c r="A1518" t="str">
        <f ca="1">IFERROR(__xludf.DUMMYFUNCTION("""COMPUTED_VALUE"""),"km")</f>
        <v>km</v>
      </c>
      <c r="B1518" t="str">
        <f ca="1">IFERROR(__xludf.DUMMYFUNCTION("""COMPUTED_VALUE"""),"Model S 90D")</f>
        <v>Model S 90D</v>
      </c>
      <c r="C1518">
        <f ca="1">IFERROR(__xludf.DUMMYFUNCTION("""COMPUTED_VALUE"""),450)</f>
        <v>450</v>
      </c>
      <c r="D1518">
        <f ca="1">IFERROR(__xludf.DUMMYFUNCTION("""COMPUTED_VALUE"""),8000)</f>
        <v>8000</v>
      </c>
      <c r="E1518">
        <f ca="1">IFERROR(__xludf.DUMMYFUNCTION("""COMPUTED_VALUE"""),444)</f>
        <v>444</v>
      </c>
      <c r="F1518">
        <v>447</v>
      </c>
      <c r="G1518">
        <v>0.99328859060402686</v>
      </c>
      <c r="H1518">
        <v>4971</v>
      </c>
      <c r="I1518">
        <v>8000</v>
      </c>
      <c r="J1518">
        <v>4971</v>
      </c>
      <c r="K1518">
        <v>0.99457503008907677</v>
      </c>
      <c r="L1518">
        <f t="shared" ca="1" si="154"/>
        <v>275.88872400000002</v>
      </c>
      <c r="M1518">
        <f t="shared" si="155"/>
        <v>277.752837</v>
      </c>
      <c r="N1518">
        <v>4971</v>
      </c>
      <c r="O1518">
        <f t="shared" ca="1" si="151"/>
        <v>0.99328859060402697</v>
      </c>
    </row>
    <row r="1519" spans="1:15" x14ac:dyDescent="0.2">
      <c r="A1519" t="str">
        <f ca="1">IFERROR(__xludf.DUMMYFUNCTION("""COMPUTED_VALUE"""),"km")</f>
        <v>km</v>
      </c>
      <c r="B1519" t="str">
        <f ca="1">IFERROR(__xludf.DUMMYFUNCTION("""COMPUTED_VALUE"""),"Model S 90D")</f>
        <v>Model S 90D</v>
      </c>
      <c r="C1519">
        <f ca="1">IFERROR(__xludf.DUMMYFUNCTION("""COMPUTED_VALUE"""),457)</f>
        <v>457</v>
      </c>
      <c r="D1519">
        <f ca="1">IFERROR(__xludf.DUMMYFUNCTION("""COMPUTED_VALUE"""),8000)</f>
        <v>8000</v>
      </c>
      <c r="E1519">
        <f ca="1">IFERROR(__xludf.DUMMYFUNCTION("""COMPUTED_VALUE"""),444)</f>
        <v>444</v>
      </c>
      <c r="F1519">
        <v>447</v>
      </c>
      <c r="G1519">
        <v>0.99328859060402686</v>
      </c>
      <c r="H1519">
        <v>4971</v>
      </c>
      <c r="I1519">
        <v>8000</v>
      </c>
      <c r="J1519">
        <v>4971</v>
      </c>
      <c r="K1519">
        <v>0.99457503008907677</v>
      </c>
      <c r="L1519">
        <f t="shared" ca="1" si="154"/>
        <v>275.88872400000002</v>
      </c>
      <c r="M1519">
        <f t="shared" si="155"/>
        <v>277.752837</v>
      </c>
      <c r="N1519">
        <v>4971</v>
      </c>
      <c r="O1519">
        <f t="shared" ca="1" si="151"/>
        <v>0.99328859060402697</v>
      </c>
    </row>
    <row r="1520" spans="1:15" x14ac:dyDescent="0.2">
      <c r="A1520" t="str">
        <f ca="1">IFERROR(__xludf.DUMMYFUNCTION("""COMPUTED_VALUE"""),"km")</f>
        <v>km</v>
      </c>
      <c r="B1520" t="str">
        <f ca="1">IFERROR(__xludf.DUMMYFUNCTION("""COMPUTED_VALUE"""),"Model S P100D")</f>
        <v>Model S P100D</v>
      </c>
      <c r="C1520">
        <f ca="1">IFERROR(__xludf.DUMMYFUNCTION("""COMPUTED_VALUE"""),488)</f>
        <v>488</v>
      </c>
      <c r="D1520">
        <f ca="1">IFERROR(__xludf.DUMMYFUNCTION("""COMPUTED_VALUE"""),13558)</f>
        <v>13558</v>
      </c>
      <c r="E1520">
        <f ca="1">IFERROR(__xludf.DUMMYFUNCTION("""COMPUTED_VALUE"""),480)</f>
        <v>480</v>
      </c>
      <c r="F1520">
        <v>483</v>
      </c>
      <c r="G1520">
        <v>0.99378881987577639</v>
      </c>
      <c r="H1520">
        <v>8425</v>
      </c>
      <c r="I1520">
        <v>13558</v>
      </c>
      <c r="J1520">
        <v>8425</v>
      </c>
      <c r="K1520">
        <v>0.99087401012486154</v>
      </c>
      <c r="L1520">
        <f t="shared" ca="1" si="154"/>
        <v>298.25808000000001</v>
      </c>
      <c r="M1520">
        <f t="shared" si="155"/>
        <v>300.12219299999998</v>
      </c>
      <c r="N1520">
        <v>8425</v>
      </c>
      <c r="O1520">
        <f t="shared" ca="1" si="151"/>
        <v>0.9937888198757765</v>
      </c>
    </row>
    <row r="1521" spans="1:15" x14ac:dyDescent="0.2">
      <c r="A1521" t="str">
        <f ca="1">IFERROR(__xludf.DUMMYFUNCTION("""COMPUTED_VALUE"""),"km")</f>
        <v>km</v>
      </c>
      <c r="B1521" t="str">
        <f ca="1">IFERROR(__xludf.DUMMYFUNCTION("""COMPUTED_VALUE"""),"Model 3 P")</f>
        <v>Model 3 P</v>
      </c>
      <c r="C1521">
        <f ca="1">IFERROR(__xludf.DUMMYFUNCTION("""COMPUTED_VALUE"""),496)</f>
        <v>496</v>
      </c>
      <c r="D1521">
        <f ca="1">IFERROR(__xludf.DUMMYFUNCTION("""COMPUTED_VALUE"""),302)</f>
        <v>302</v>
      </c>
      <c r="E1521">
        <f ca="1">IFERROR(__xludf.DUMMYFUNCTION("""COMPUTED_VALUE"""),496)</f>
        <v>496</v>
      </c>
      <c r="F1521">
        <v>499</v>
      </c>
      <c r="G1521">
        <v>0.9939879759519038</v>
      </c>
      <c r="H1521">
        <v>188</v>
      </c>
      <c r="I1521">
        <v>302</v>
      </c>
      <c r="J1521">
        <v>188</v>
      </c>
      <c r="K1521">
        <v>0.99979312069366721</v>
      </c>
      <c r="L1521">
        <f t="shared" ca="1" si="154"/>
        <v>308.20001600000001</v>
      </c>
      <c r="M1521">
        <f t="shared" si="155"/>
        <v>310.06412899999998</v>
      </c>
      <c r="N1521">
        <v>188</v>
      </c>
      <c r="O1521">
        <f t="shared" ca="1" si="151"/>
        <v>0.99398797595190391</v>
      </c>
    </row>
    <row r="1522" spans="1:15" x14ac:dyDescent="0.2">
      <c r="A1522" t="str">
        <f ca="1">IFERROR(__xludf.DUMMYFUNCTION("""COMPUTED_VALUE"""),"mi")</f>
        <v>mi</v>
      </c>
      <c r="B1522" t="str">
        <f ca="1">IFERROR(__xludf.DUMMYFUNCTION("""COMPUTED_VALUE"""),"Model 3 P")</f>
        <v>Model 3 P</v>
      </c>
      <c r="C1522">
        <f ca="1">IFERROR(__xludf.DUMMYFUNCTION("""COMPUTED_VALUE"""),310)</f>
        <v>310</v>
      </c>
      <c r="D1522">
        <f ca="1">IFERROR(__xludf.DUMMYFUNCTION("""COMPUTED_VALUE"""),3402)</f>
        <v>3402</v>
      </c>
      <c r="E1522">
        <f ca="1">IFERROR(__xludf.DUMMYFUNCTION("""COMPUTED_VALUE"""),308.16)</f>
        <v>308.16000000000003</v>
      </c>
      <c r="F1522">
        <v>310</v>
      </c>
      <c r="G1522">
        <v>0.99406451612903235</v>
      </c>
      <c r="H1522">
        <v>3402</v>
      </c>
      <c r="I1522">
        <v>5475</v>
      </c>
      <c r="J1522">
        <v>3402</v>
      </c>
      <c r="K1522">
        <v>0.9962748534133441</v>
      </c>
      <c r="L1522">
        <f ca="1">IFERROR(__xludf.DUMMYFUNCTION("""COMPUTED_VALUE"""),308.16)</f>
        <v>308.16000000000003</v>
      </c>
      <c r="M1522">
        <v>310</v>
      </c>
      <c r="N1522">
        <v>3402</v>
      </c>
      <c r="O1522">
        <f t="shared" ca="1" si="151"/>
        <v>0.99406451612903235</v>
      </c>
    </row>
    <row r="1523" spans="1:15" x14ac:dyDescent="0.2">
      <c r="A1523" t="str">
        <f ca="1">IFERROR(__xludf.DUMMYFUNCTION("""COMPUTED_VALUE"""),"km")</f>
        <v>km</v>
      </c>
      <c r="B1523" t="str">
        <f ca="1">IFERROR(__xludf.DUMMYFUNCTION("""COMPUTED_VALUE"""),"Model S 70D")</f>
        <v>Model S 70D</v>
      </c>
      <c r="C1523">
        <f ca="1">IFERROR(__xludf.DUMMYFUNCTION("""COMPUTED_VALUE"""),369)</f>
        <v>369</v>
      </c>
      <c r="D1523">
        <f ca="1">IFERROR(__xludf.DUMMYFUNCTION("""COMPUTED_VALUE"""),12000)</f>
        <v>12000</v>
      </c>
      <c r="E1523">
        <f ca="1">IFERROR(__xludf.DUMMYFUNCTION("""COMPUTED_VALUE"""),358)</f>
        <v>358</v>
      </c>
      <c r="F1523">
        <v>360</v>
      </c>
      <c r="G1523">
        <v>0.99444444444444446</v>
      </c>
      <c r="H1523">
        <v>7456</v>
      </c>
      <c r="I1523">
        <v>12000</v>
      </c>
      <c r="J1523">
        <v>7456</v>
      </c>
      <c r="K1523">
        <v>0.99190582024539564</v>
      </c>
      <c r="L1523">
        <f t="shared" ref="L1523:L1548" ca="1" si="156">E1523*0.621371</f>
        <v>222.450818</v>
      </c>
      <c r="M1523">
        <f t="shared" ref="M1523:M1548" si="157">F1523*0.621371</f>
        <v>223.69355999999999</v>
      </c>
      <c r="N1523">
        <v>7456</v>
      </c>
      <c r="O1523">
        <f t="shared" ca="1" si="151"/>
        <v>0.99444444444444446</v>
      </c>
    </row>
    <row r="1524" spans="1:15" x14ac:dyDescent="0.2">
      <c r="A1524" t="str">
        <f ca="1">IFERROR(__xludf.DUMMYFUNCTION("""COMPUTED_VALUE"""),"km")</f>
        <v>km</v>
      </c>
      <c r="B1524" t="str">
        <f ca="1">IFERROR(__xludf.DUMMYFUNCTION("""COMPUTED_VALUE"""),"Model S 70D")</f>
        <v>Model S 70D</v>
      </c>
      <c r="C1524">
        <f ca="1">IFERROR(__xludf.DUMMYFUNCTION("""COMPUTED_VALUE"""),361)</f>
        <v>361</v>
      </c>
      <c r="D1524">
        <f ca="1">IFERROR(__xludf.DUMMYFUNCTION("""COMPUTED_VALUE"""),21000)</f>
        <v>21000</v>
      </c>
      <c r="E1524">
        <f ca="1">IFERROR(__xludf.DUMMYFUNCTION("""COMPUTED_VALUE"""),358)</f>
        <v>358</v>
      </c>
      <c r="F1524">
        <v>360</v>
      </c>
      <c r="G1524">
        <v>0.99444444444444446</v>
      </c>
      <c r="H1524">
        <v>13049</v>
      </c>
      <c r="I1524">
        <v>21000</v>
      </c>
      <c r="J1524">
        <v>13049</v>
      </c>
      <c r="K1524">
        <v>0.98600642291021556</v>
      </c>
      <c r="L1524">
        <f t="shared" ca="1" si="156"/>
        <v>222.450818</v>
      </c>
      <c r="M1524">
        <f t="shared" si="157"/>
        <v>223.69355999999999</v>
      </c>
      <c r="N1524">
        <v>13049</v>
      </c>
      <c r="O1524">
        <f t="shared" ca="1" si="151"/>
        <v>0.99444444444444446</v>
      </c>
    </row>
    <row r="1525" spans="1:15" x14ac:dyDescent="0.2">
      <c r="A1525" t="str">
        <f ca="1">IFERROR(__xludf.DUMMYFUNCTION("""COMPUTED_VALUE"""),"km")</f>
        <v>km</v>
      </c>
      <c r="B1525" t="str">
        <f ca="1">IFERROR(__xludf.DUMMYFUNCTION("""COMPUTED_VALUE"""),"Model S 70D")</f>
        <v>Model S 70D</v>
      </c>
      <c r="D1525">
        <f ca="1">IFERROR(__xludf.DUMMYFUNCTION("""COMPUTED_VALUE"""),32054)</f>
        <v>32054</v>
      </c>
      <c r="E1525">
        <f ca="1">IFERROR(__xludf.DUMMYFUNCTION("""COMPUTED_VALUE"""),358)</f>
        <v>358</v>
      </c>
      <c r="F1525">
        <v>360</v>
      </c>
      <c r="G1525">
        <v>0.99444444444444446</v>
      </c>
      <c r="H1525">
        <v>19917</v>
      </c>
      <c r="I1525">
        <v>32054</v>
      </c>
      <c r="J1525">
        <v>19917</v>
      </c>
      <c r="K1525">
        <v>0.97896394634965511</v>
      </c>
      <c r="L1525">
        <f t="shared" ca="1" si="156"/>
        <v>222.450818</v>
      </c>
      <c r="M1525">
        <f t="shared" si="157"/>
        <v>223.69355999999999</v>
      </c>
      <c r="N1525">
        <v>19917</v>
      </c>
      <c r="O1525">
        <f t="shared" ca="1" si="151"/>
        <v>0.99444444444444446</v>
      </c>
    </row>
    <row r="1526" spans="1:15" x14ac:dyDescent="0.2">
      <c r="A1526" t="str">
        <f ca="1">IFERROR(__xludf.DUMMYFUNCTION("""COMPUTED_VALUE"""),"km")</f>
        <v>km</v>
      </c>
      <c r="B1526" t="str">
        <f ca="1">IFERROR(__xludf.DUMMYFUNCTION("""COMPUTED_VALUE"""),"Model S 70D")</f>
        <v>Model S 70D</v>
      </c>
      <c r="D1526">
        <f ca="1">IFERROR(__xludf.DUMMYFUNCTION("""COMPUTED_VALUE"""),30000)</f>
        <v>30000</v>
      </c>
      <c r="E1526">
        <f ca="1">IFERROR(__xludf.DUMMYFUNCTION("""COMPUTED_VALUE"""),358)</f>
        <v>358</v>
      </c>
      <c r="F1526">
        <v>360</v>
      </c>
      <c r="G1526">
        <v>0.99444444444444446</v>
      </c>
      <c r="H1526">
        <v>18641</v>
      </c>
      <c r="I1526">
        <v>30000</v>
      </c>
      <c r="J1526">
        <v>18641</v>
      </c>
      <c r="K1526">
        <v>0.98025547595861162</v>
      </c>
      <c r="L1526">
        <f t="shared" ca="1" si="156"/>
        <v>222.450818</v>
      </c>
      <c r="M1526">
        <f t="shared" si="157"/>
        <v>223.69355999999999</v>
      </c>
      <c r="N1526">
        <v>18641</v>
      </c>
      <c r="O1526">
        <f t="shared" ca="1" si="151"/>
        <v>0.99444444444444446</v>
      </c>
    </row>
    <row r="1527" spans="1:15" x14ac:dyDescent="0.2">
      <c r="A1527" t="str">
        <f ca="1">IFERROR(__xludf.DUMMYFUNCTION("""COMPUTED_VALUE"""),"km")</f>
        <v>km</v>
      </c>
      <c r="B1527" t="str">
        <f ca="1">IFERROR(__xludf.DUMMYFUNCTION("""COMPUTED_VALUE"""),"Model S 70D")</f>
        <v>Model S 70D</v>
      </c>
      <c r="C1527">
        <f ca="1">IFERROR(__xludf.DUMMYFUNCTION("""COMPUTED_VALUE"""),366)</f>
        <v>366</v>
      </c>
      <c r="D1527">
        <f ca="1">IFERROR(__xludf.DUMMYFUNCTION("""COMPUTED_VALUE"""),49987)</f>
        <v>49987</v>
      </c>
      <c r="E1527">
        <f ca="1">IFERROR(__xludf.DUMMYFUNCTION("""COMPUTED_VALUE"""),358)</f>
        <v>358</v>
      </c>
      <c r="F1527">
        <v>360</v>
      </c>
      <c r="G1527">
        <v>0.99444444444444446</v>
      </c>
      <c r="H1527">
        <v>31060</v>
      </c>
      <c r="I1527">
        <v>49987</v>
      </c>
      <c r="J1527">
        <v>31060</v>
      </c>
      <c r="K1527">
        <v>0.96802250167942427</v>
      </c>
      <c r="L1527">
        <f t="shared" ca="1" si="156"/>
        <v>222.450818</v>
      </c>
      <c r="M1527">
        <f t="shared" si="157"/>
        <v>223.69355999999999</v>
      </c>
      <c r="N1527">
        <v>31060</v>
      </c>
      <c r="O1527">
        <f t="shared" ca="1" si="151"/>
        <v>0.99444444444444446</v>
      </c>
    </row>
    <row r="1528" spans="1:15" x14ac:dyDescent="0.2">
      <c r="A1528" t="str">
        <f ca="1">IFERROR(__xludf.DUMMYFUNCTION("""COMPUTED_VALUE"""),"km")</f>
        <v>km</v>
      </c>
      <c r="B1528" t="str">
        <f ca="1">IFERROR(__xludf.DUMMYFUNCTION("""COMPUTED_VALUE"""),"Model S 70D")</f>
        <v>Model S 70D</v>
      </c>
      <c r="C1528">
        <f ca="1">IFERROR(__xludf.DUMMYFUNCTION("""COMPUTED_VALUE"""),365)</f>
        <v>365</v>
      </c>
      <c r="D1528">
        <f ca="1">IFERROR(__xludf.DUMMYFUNCTION("""COMPUTED_VALUE"""),7800)</f>
        <v>7800</v>
      </c>
      <c r="E1528">
        <f ca="1">IFERROR(__xludf.DUMMYFUNCTION("""COMPUTED_VALUE"""),358)</f>
        <v>358</v>
      </c>
      <c r="F1528">
        <v>360</v>
      </c>
      <c r="G1528">
        <v>0.99444444444444446</v>
      </c>
      <c r="H1528">
        <v>4847</v>
      </c>
      <c r="I1528">
        <v>7800</v>
      </c>
      <c r="J1528">
        <v>4847</v>
      </c>
      <c r="K1528">
        <v>0.99470925013192057</v>
      </c>
      <c r="L1528">
        <f t="shared" ca="1" si="156"/>
        <v>222.450818</v>
      </c>
      <c r="M1528">
        <f t="shared" si="157"/>
        <v>223.69355999999999</v>
      </c>
      <c r="N1528">
        <v>4847</v>
      </c>
      <c r="O1528">
        <f t="shared" ca="1" si="151"/>
        <v>0.99444444444444446</v>
      </c>
    </row>
    <row r="1529" spans="1:15" x14ac:dyDescent="0.2">
      <c r="A1529" t="str">
        <f ca="1">IFERROR(__xludf.DUMMYFUNCTION("""COMPUTED_VALUE"""),"km")</f>
        <v>km</v>
      </c>
      <c r="B1529" t="str">
        <f ca="1">IFERROR(__xludf.DUMMYFUNCTION("""COMPUTED_VALUE"""),"Model S 75")</f>
        <v>Model S 75</v>
      </c>
      <c r="C1529">
        <f ca="1">IFERROR(__xludf.DUMMYFUNCTION("""COMPUTED_VALUE"""),373)</f>
        <v>373</v>
      </c>
      <c r="D1529">
        <f ca="1">IFERROR(__xludf.DUMMYFUNCTION("""COMPUTED_VALUE"""),12063)</f>
        <v>12063</v>
      </c>
      <c r="E1529">
        <f ca="1">IFERROR(__xludf.DUMMYFUNCTION("""COMPUTED_VALUE"""),373)</f>
        <v>373</v>
      </c>
      <c r="F1529">
        <v>375</v>
      </c>
      <c r="G1529">
        <v>0.9946666666666667</v>
      </c>
      <c r="H1529">
        <v>7496</v>
      </c>
      <c r="I1529">
        <v>12063</v>
      </c>
      <c r="J1529">
        <v>7496</v>
      </c>
      <c r="K1529">
        <v>0.99186401201813534</v>
      </c>
      <c r="L1529">
        <f t="shared" ca="1" si="156"/>
        <v>231.77138300000001</v>
      </c>
      <c r="M1529">
        <f t="shared" si="157"/>
        <v>233.01412500000001</v>
      </c>
      <c r="N1529">
        <v>7496</v>
      </c>
      <c r="O1529">
        <f t="shared" ca="1" si="151"/>
        <v>0.9946666666666667</v>
      </c>
    </row>
    <row r="1530" spans="1:15" x14ac:dyDescent="0.2">
      <c r="A1530" t="str">
        <f ca="1">IFERROR(__xludf.DUMMYFUNCTION("""COMPUTED_VALUE"""),"km")</f>
        <v>km</v>
      </c>
      <c r="B1530" t="str">
        <f ca="1">IFERROR(__xludf.DUMMYFUNCTION("""COMPUTED_VALUE"""),"Model S 75")</f>
        <v>Model S 75</v>
      </c>
      <c r="C1530">
        <f ca="1">IFERROR(__xludf.DUMMYFUNCTION("""COMPUTED_VALUE"""),373)</f>
        <v>373</v>
      </c>
      <c r="D1530">
        <f ca="1">IFERROR(__xludf.DUMMYFUNCTION("""COMPUTED_VALUE"""),10500)</f>
        <v>10500</v>
      </c>
      <c r="E1530">
        <f ca="1">IFERROR(__xludf.DUMMYFUNCTION("""COMPUTED_VALUE"""),373)</f>
        <v>373</v>
      </c>
      <c r="F1530">
        <v>375</v>
      </c>
      <c r="G1530">
        <v>0.9946666666666667</v>
      </c>
      <c r="H1530">
        <v>6524</v>
      </c>
      <c r="I1530">
        <v>10500</v>
      </c>
      <c r="J1530">
        <v>6524</v>
      </c>
      <c r="K1530">
        <v>0.99290337961963893</v>
      </c>
      <c r="L1530">
        <f t="shared" ca="1" si="156"/>
        <v>231.77138300000001</v>
      </c>
      <c r="M1530">
        <f t="shared" si="157"/>
        <v>233.01412500000001</v>
      </c>
      <c r="N1530">
        <v>6524</v>
      </c>
      <c r="O1530">
        <f t="shared" ca="1" si="151"/>
        <v>0.9946666666666667</v>
      </c>
    </row>
    <row r="1531" spans="1:15" x14ac:dyDescent="0.2">
      <c r="A1531" t="str">
        <f ca="1">IFERROR(__xludf.DUMMYFUNCTION("""COMPUTED_VALUE"""),"km")</f>
        <v>km</v>
      </c>
      <c r="B1531" t="str">
        <f ca="1">IFERROR(__xludf.DUMMYFUNCTION("""COMPUTED_VALUE"""),"Model S 75")</f>
        <v>Model S 75</v>
      </c>
      <c r="C1531">
        <f ca="1">IFERROR(__xludf.DUMMYFUNCTION("""COMPUTED_VALUE"""),373)</f>
        <v>373</v>
      </c>
      <c r="D1531">
        <f ca="1">IFERROR(__xludf.DUMMYFUNCTION("""COMPUTED_VALUE"""),7500)</f>
        <v>7500</v>
      </c>
      <c r="E1531">
        <f ca="1">IFERROR(__xludf.DUMMYFUNCTION("""COMPUTED_VALUE"""),373)</f>
        <v>373</v>
      </c>
      <c r="F1531">
        <v>375</v>
      </c>
      <c r="G1531">
        <v>0.9946666666666667</v>
      </c>
      <c r="H1531">
        <v>4660</v>
      </c>
      <c r="I1531">
        <v>7500</v>
      </c>
      <c r="J1531">
        <v>4660</v>
      </c>
      <c r="K1531">
        <v>0.99491071559936373</v>
      </c>
      <c r="L1531">
        <f t="shared" ca="1" si="156"/>
        <v>231.77138300000001</v>
      </c>
      <c r="M1531">
        <f t="shared" si="157"/>
        <v>233.01412500000001</v>
      </c>
      <c r="N1531">
        <v>4660</v>
      </c>
      <c r="O1531">
        <f t="shared" ca="1" si="151"/>
        <v>0.9946666666666667</v>
      </c>
    </row>
    <row r="1532" spans="1:15" x14ac:dyDescent="0.2">
      <c r="A1532" t="str">
        <f ca="1">IFERROR(__xludf.DUMMYFUNCTION("""COMPUTED_VALUE"""),"km")</f>
        <v>km</v>
      </c>
      <c r="B1532" t="str">
        <f ca="1">IFERROR(__xludf.DUMMYFUNCTION("""COMPUTED_VALUE"""),"Model S 75")</f>
        <v>Model S 75</v>
      </c>
      <c r="C1532">
        <f ca="1">IFERROR(__xludf.DUMMYFUNCTION("""COMPUTED_VALUE"""),373)</f>
        <v>373</v>
      </c>
      <c r="D1532">
        <f ca="1">IFERROR(__xludf.DUMMYFUNCTION("""COMPUTED_VALUE"""),736)</f>
        <v>736</v>
      </c>
      <c r="E1532">
        <f ca="1">IFERROR(__xludf.DUMMYFUNCTION("""COMPUTED_VALUE"""),373)</f>
        <v>373</v>
      </c>
      <c r="F1532">
        <v>375</v>
      </c>
      <c r="G1532">
        <v>0.9946666666666667</v>
      </c>
      <c r="H1532">
        <v>457</v>
      </c>
      <c r="I1532">
        <v>736</v>
      </c>
      <c r="J1532">
        <v>457</v>
      </c>
      <c r="K1532">
        <v>0.99949610324079519</v>
      </c>
      <c r="L1532">
        <f t="shared" ca="1" si="156"/>
        <v>231.77138300000001</v>
      </c>
      <c r="M1532">
        <f t="shared" si="157"/>
        <v>233.01412500000001</v>
      </c>
      <c r="N1532">
        <v>457</v>
      </c>
      <c r="O1532">
        <f t="shared" ca="1" si="151"/>
        <v>0.9946666666666667</v>
      </c>
    </row>
    <row r="1533" spans="1:15" x14ac:dyDescent="0.2">
      <c r="A1533" t="str">
        <f ca="1">IFERROR(__xludf.DUMMYFUNCTION("""COMPUTED_VALUE"""),"km")</f>
        <v>km</v>
      </c>
      <c r="B1533" t="str">
        <f ca="1">IFERROR(__xludf.DUMMYFUNCTION("""COMPUTED_VALUE"""),"Model S 75")</f>
        <v>Model S 75</v>
      </c>
      <c r="C1533">
        <f ca="1">IFERROR(__xludf.DUMMYFUNCTION("""COMPUTED_VALUE"""),373)</f>
        <v>373</v>
      </c>
      <c r="D1533">
        <f ca="1">IFERROR(__xludf.DUMMYFUNCTION("""COMPUTED_VALUE"""),350)</f>
        <v>350</v>
      </c>
      <c r="E1533">
        <f ca="1">IFERROR(__xludf.DUMMYFUNCTION("""COMPUTED_VALUE"""),373)</f>
        <v>373</v>
      </c>
      <c r="F1533">
        <v>375</v>
      </c>
      <c r="G1533">
        <v>0.9946666666666667</v>
      </c>
      <c r="H1533">
        <v>217</v>
      </c>
      <c r="I1533">
        <v>350</v>
      </c>
      <c r="J1533">
        <v>217</v>
      </c>
      <c r="K1533">
        <v>0.99976025425024617</v>
      </c>
      <c r="L1533">
        <f t="shared" ca="1" si="156"/>
        <v>231.77138300000001</v>
      </c>
      <c r="M1533">
        <f t="shared" si="157"/>
        <v>233.01412500000001</v>
      </c>
      <c r="N1533">
        <v>217</v>
      </c>
      <c r="O1533">
        <f t="shared" ca="1" si="151"/>
        <v>0.9946666666666667</v>
      </c>
    </row>
    <row r="1534" spans="1:15" x14ac:dyDescent="0.2">
      <c r="A1534" t="str">
        <f ca="1">IFERROR(__xludf.DUMMYFUNCTION("""COMPUTED_VALUE"""),"km")</f>
        <v>km</v>
      </c>
      <c r="B1534" t="str">
        <f ca="1">IFERROR(__xludf.DUMMYFUNCTION("""COMPUTED_VALUE"""),"Model S 75")</f>
        <v>Model S 75</v>
      </c>
      <c r="D1534">
        <f ca="1">IFERROR(__xludf.DUMMYFUNCTION("""COMPUTED_VALUE"""),28385)</f>
        <v>28385</v>
      </c>
      <c r="E1534">
        <f ca="1">IFERROR(__xludf.DUMMYFUNCTION("""COMPUTED_VALUE"""),373)</f>
        <v>373</v>
      </c>
      <c r="F1534">
        <v>375</v>
      </c>
      <c r="G1534">
        <v>0.9946666666666667</v>
      </c>
      <c r="H1534">
        <v>17638</v>
      </c>
      <c r="I1534">
        <v>28385</v>
      </c>
      <c r="J1534">
        <v>17638</v>
      </c>
      <c r="K1534">
        <v>0.98127645430313826</v>
      </c>
      <c r="L1534">
        <f t="shared" ca="1" si="156"/>
        <v>231.77138300000001</v>
      </c>
      <c r="M1534">
        <f t="shared" si="157"/>
        <v>233.01412500000001</v>
      </c>
      <c r="N1534">
        <v>17638</v>
      </c>
      <c r="O1534">
        <f t="shared" ca="1" si="151"/>
        <v>0.9946666666666667</v>
      </c>
    </row>
    <row r="1535" spans="1:15" x14ac:dyDescent="0.2">
      <c r="A1535" t="str">
        <f ca="1">IFERROR(__xludf.DUMMYFUNCTION("""COMPUTED_VALUE"""),"km")</f>
        <v>km</v>
      </c>
      <c r="B1535" t="str">
        <f ca="1">IFERROR(__xludf.DUMMYFUNCTION("""COMPUTED_VALUE"""),"Model 3 SR+")</f>
        <v>Model 3 SR+</v>
      </c>
      <c r="C1535">
        <f ca="1">IFERROR(__xludf.DUMMYFUNCTION("""COMPUTED_VALUE"""),381)</f>
        <v>381</v>
      </c>
      <c r="D1535">
        <f ca="1">IFERROR(__xludf.DUMMYFUNCTION("""COMPUTED_VALUE"""),3717)</f>
        <v>3717</v>
      </c>
      <c r="E1535">
        <f ca="1">IFERROR(__xludf.DUMMYFUNCTION("""COMPUTED_VALUE"""),379)</f>
        <v>379</v>
      </c>
      <c r="F1535">
        <v>381</v>
      </c>
      <c r="G1535">
        <v>0.99475065616797897</v>
      </c>
      <c r="H1535">
        <v>2310</v>
      </c>
      <c r="I1535">
        <v>3717</v>
      </c>
      <c r="J1535">
        <v>2310</v>
      </c>
      <c r="K1535">
        <v>0.99746511547669781</v>
      </c>
      <c r="L1535">
        <f t="shared" ca="1" si="156"/>
        <v>235.49960899999999</v>
      </c>
      <c r="M1535">
        <f t="shared" si="157"/>
        <v>236.74235100000001</v>
      </c>
      <c r="N1535">
        <v>2310</v>
      </c>
      <c r="O1535">
        <f t="shared" ca="1" si="151"/>
        <v>0.99475065616797886</v>
      </c>
    </row>
    <row r="1536" spans="1:15" x14ac:dyDescent="0.2">
      <c r="A1536" t="str">
        <f ca="1">IFERROR(__xludf.DUMMYFUNCTION("""COMPUTED_VALUE"""),"km")</f>
        <v>km</v>
      </c>
      <c r="B1536" t="str">
        <f ca="1">IFERROR(__xludf.DUMMYFUNCTION("""COMPUTED_VALUE"""),"Model S 85")</f>
        <v>Model S 85</v>
      </c>
      <c r="C1536">
        <f ca="1">IFERROR(__xludf.DUMMYFUNCTION("""COMPUTED_VALUE"""),393)</f>
        <v>393</v>
      </c>
      <c r="D1536">
        <f ca="1">IFERROR(__xludf.DUMMYFUNCTION("""COMPUTED_VALUE"""),60000)</f>
        <v>60000</v>
      </c>
      <c r="E1536">
        <f ca="1">IFERROR(__xludf.DUMMYFUNCTION("""COMPUTED_VALUE"""),393)</f>
        <v>393</v>
      </c>
      <c r="F1536">
        <v>395</v>
      </c>
      <c r="G1536">
        <v>0.99493670886075947</v>
      </c>
      <c r="H1536">
        <v>37282</v>
      </c>
      <c r="I1536">
        <v>60000</v>
      </c>
      <c r="J1536">
        <v>37282</v>
      </c>
      <c r="K1536">
        <v>0.9621774876664213</v>
      </c>
      <c r="L1536">
        <f t="shared" ca="1" si="156"/>
        <v>244.198803</v>
      </c>
      <c r="M1536">
        <f t="shared" si="157"/>
        <v>245.44154499999999</v>
      </c>
      <c r="N1536">
        <v>37282</v>
      </c>
      <c r="O1536">
        <f t="shared" ca="1" si="151"/>
        <v>0.99493670886075958</v>
      </c>
    </row>
    <row r="1537" spans="1:15" x14ac:dyDescent="0.2">
      <c r="A1537" t="str">
        <f ca="1">IFERROR(__xludf.DUMMYFUNCTION("""COMPUTED_VALUE"""),"km")</f>
        <v>km</v>
      </c>
      <c r="B1537" t="str">
        <f ca="1">IFERROR(__xludf.DUMMYFUNCTION("""COMPUTED_VALUE"""),"Model S 85")</f>
        <v>Model S 85</v>
      </c>
      <c r="D1537">
        <f ca="1">IFERROR(__xludf.DUMMYFUNCTION("""COMPUTED_VALUE"""),8192)</f>
        <v>8192</v>
      </c>
      <c r="E1537">
        <f ca="1">IFERROR(__xludf.DUMMYFUNCTION("""COMPUTED_VALUE"""),393)</f>
        <v>393</v>
      </c>
      <c r="F1537">
        <v>395</v>
      </c>
      <c r="G1537">
        <v>0.99493670886075947</v>
      </c>
      <c r="H1537">
        <v>5090</v>
      </c>
      <c r="I1537">
        <v>8192</v>
      </c>
      <c r="J1537">
        <v>5090</v>
      </c>
      <c r="K1537">
        <v>0.99444624680563998</v>
      </c>
      <c r="L1537">
        <f t="shared" ca="1" si="156"/>
        <v>244.198803</v>
      </c>
      <c r="M1537">
        <f t="shared" si="157"/>
        <v>245.44154499999999</v>
      </c>
      <c r="N1537">
        <v>5090</v>
      </c>
      <c r="O1537">
        <f t="shared" ca="1" si="151"/>
        <v>0.99493670886075958</v>
      </c>
    </row>
    <row r="1538" spans="1:15" x14ac:dyDescent="0.2">
      <c r="A1538" t="str">
        <f ca="1">IFERROR(__xludf.DUMMYFUNCTION("""COMPUTED_VALUE"""),"km")</f>
        <v>km</v>
      </c>
      <c r="B1538" t="str">
        <f ca="1">IFERROR(__xludf.DUMMYFUNCTION("""COMPUTED_VALUE"""),"Model S 85")</f>
        <v>Model S 85</v>
      </c>
      <c r="D1538">
        <f ca="1">IFERROR(__xludf.DUMMYFUNCTION("""COMPUTED_VALUE"""),8249)</f>
        <v>8249</v>
      </c>
      <c r="E1538">
        <f ca="1">IFERROR(__xludf.DUMMYFUNCTION("""COMPUTED_VALUE"""),393)</f>
        <v>393</v>
      </c>
      <c r="F1538">
        <v>395</v>
      </c>
      <c r="G1538">
        <v>0.99493670886075947</v>
      </c>
      <c r="H1538">
        <v>5126</v>
      </c>
      <c r="I1538">
        <v>8249</v>
      </c>
      <c r="J1538">
        <v>5126</v>
      </c>
      <c r="K1538">
        <v>0.9944080270857516</v>
      </c>
      <c r="L1538">
        <f t="shared" ca="1" si="156"/>
        <v>244.198803</v>
      </c>
      <c r="M1538">
        <f t="shared" si="157"/>
        <v>245.44154499999999</v>
      </c>
      <c r="N1538">
        <v>5126</v>
      </c>
      <c r="O1538">
        <f t="shared" ref="O1538:O1601" ca="1" si="158">L1538/M1538</f>
        <v>0.99493670886075958</v>
      </c>
    </row>
    <row r="1539" spans="1:15" x14ac:dyDescent="0.2">
      <c r="A1539" t="str">
        <f ca="1">IFERROR(__xludf.DUMMYFUNCTION("""COMPUTED_VALUE"""),"km")</f>
        <v>km</v>
      </c>
      <c r="B1539" t="str">
        <f ca="1">IFERROR(__xludf.DUMMYFUNCTION("""COMPUTED_VALUE"""),"Model S 85")</f>
        <v>Model S 85</v>
      </c>
      <c r="D1539">
        <f ca="1">IFERROR(__xludf.DUMMYFUNCTION("""COMPUTED_VALUE"""),5249)</f>
        <v>5249</v>
      </c>
      <c r="E1539">
        <f ca="1">IFERROR(__xludf.DUMMYFUNCTION("""COMPUTED_VALUE"""),393)</f>
        <v>393</v>
      </c>
      <c r="F1539">
        <v>395</v>
      </c>
      <c r="G1539">
        <v>0.99493670886075947</v>
      </c>
      <c r="H1539">
        <v>3262</v>
      </c>
      <c r="I1539">
        <v>5249</v>
      </c>
      <c r="J1539">
        <v>3262</v>
      </c>
      <c r="K1539">
        <v>0.99642755626941248</v>
      </c>
      <c r="L1539">
        <f t="shared" ca="1" si="156"/>
        <v>244.198803</v>
      </c>
      <c r="M1539">
        <f t="shared" si="157"/>
        <v>245.44154499999999</v>
      </c>
      <c r="N1539">
        <v>3262</v>
      </c>
      <c r="O1539">
        <f t="shared" ca="1" si="158"/>
        <v>0.99493670886075958</v>
      </c>
    </row>
    <row r="1540" spans="1:15" x14ac:dyDescent="0.2">
      <c r="A1540" t="str">
        <f ca="1">IFERROR(__xludf.DUMMYFUNCTION("""COMPUTED_VALUE"""),"km")</f>
        <v>km</v>
      </c>
      <c r="B1540" t="str">
        <f ca="1">IFERROR(__xludf.DUMMYFUNCTION("""COMPUTED_VALUE"""),"Model S 85")</f>
        <v>Model S 85</v>
      </c>
      <c r="D1540">
        <f ca="1">IFERROR(__xludf.DUMMYFUNCTION("""COMPUTED_VALUE"""),649)</f>
        <v>649</v>
      </c>
      <c r="E1540">
        <f ca="1">IFERROR(__xludf.DUMMYFUNCTION("""COMPUTED_VALUE"""),393)</f>
        <v>393</v>
      </c>
      <c r="F1540">
        <v>395</v>
      </c>
      <c r="G1540">
        <v>0.99493670886075947</v>
      </c>
      <c r="H1540">
        <v>403</v>
      </c>
      <c r="I1540">
        <v>649</v>
      </c>
      <c r="J1540">
        <v>403</v>
      </c>
      <c r="K1540">
        <v>0.99955561657651548</v>
      </c>
      <c r="L1540">
        <f t="shared" ca="1" si="156"/>
        <v>244.198803</v>
      </c>
      <c r="M1540">
        <f t="shared" si="157"/>
        <v>245.44154499999999</v>
      </c>
      <c r="N1540">
        <v>403</v>
      </c>
      <c r="O1540">
        <f t="shared" ca="1" si="158"/>
        <v>0.99493670886075958</v>
      </c>
    </row>
    <row r="1541" spans="1:15" x14ac:dyDescent="0.2">
      <c r="A1541" t="str">
        <f ca="1">IFERROR(__xludf.DUMMYFUNCTION("""COMPUTED_VALUE"""),"km")</f>
        <v>km</v>
      </c>
      <c r="B1541" t="str">
        <f ca="1">IFERROR(__xludf.DUMMYFUNCTION("""COMPUTED_VALUE"""),"Model S 85")</f>
        <v>Model S 85</v>
      </c>
      <c r="D1541">
        <f ca="1">IFERROR(__xludf.DUMMYFUNCTION("""COMPUTED_VALUE"""),2650)</f>
        <v>2650</v>
      </c>
      <c r="E1541">
        <f ca="1">IFERROR(__xludf.DUMMYFUNCTION("""COMPUTED_VALUE"""),393)</f>
        <v>393</v>
      </c>
      <c r="F1541">
        <v>395</v>
      </c>
      <c r="G1541">
        <v>0.99493670886075947</v>
      </c>
      <c r="H1541">
        <v>1647</v>
      </c>
      <c r="I1541">
        <v>2650</v>
      </c>
      <c r="J1541">
        <v>1647</v>
      </c>
      <c r="K1541">
        <v>0.9981902419582962</v>
      </c>
      <c r="L1541">
        <f t="shared" ca="1" si="156"/>
        <v>244.198803</v>
      </c>
      <c r="M1541">
        <f t="shared" si="157"/>
        <v>245.44154499999999</v>
      </c>
      <c r="N1541">
        <v>1647</v>
      </c>
      <c r="O1541">
        <f t="shared" ca="1" si="158"/>
        <v>0.99493670886075958</v>
      </c>
    </row>
    <row r="1542" spans="1:15" x14ac:dyDescent="0.2">
      <c r="A1542" t="str">
        <f ca="1">IFERROR(__xludf.DUMMYFUNCTION("""COMPUTED_VALUE"""),"km")</f>
        <v>km</v>
      </c>
      <c r="B1542" t="str">
        <f ca="1">IFERROR(__xludf.DUMMYFUNCTION("""COMPUTED_VALUE"""),"Model S 85")</f>
        <v>Model S 85</v>
      </c>
      <c r="D1542">
        <f ca="1">IFERROR(__xludf.DUMMYFUNCTION("""COMPUTED_VALUE"""),9732)</f>
        <v>9732</v>
      </c>
      <c r="E1542">
        <f ca="1">IFERROR(__xludf.DUMMYFUNCTION("""COMPUTED_VALUE"""),393)</f>
        <v>393</v>
      </c>
      <c r="F1542">
        <v>395</v>
      </c>
      <c r="G1542">
        <v>0.99493670886075947</v>
      </c>
      <c r="H1542">
        <v>6047</v>
      </c>
      <c r="I1542">
        <v>9732</v>
      </c>
      <c r="J1542">
        <v>6047</v>
      </c>
      <c r="K1542">
        <v>0.99341570766668619</v>
      </c>
      <c r="L1542">
        <f t="shared" ca="1" si="156"/>
        <v>244.198803</v>
      </c>
      <c r="M1542">
        <f t="shared" si="157"/>
        <v>245.44154499999999</v>
      </c>
      <c r="N1542">
        <v>6047</v>
      </c>
      <c r="O1542">
        <f t="shared" ca="1" si="158"/>
        <v>0.99493670886075958</v>
      </c>
    </row>
    <row r="1543" spans="1:15" x14ac:dyDescent="0.2">
      <c r="A1543" t="str">
        <f ca="1">IFERROR(__xludf.DUMMYFUNCTION("""COMPUTED_VALUE"""),"km")</f>
        <v>km</v>
      </c>
      <c r="B1543" t="str">
        <f ca="1">IFERROR(__xludf.DUMMYFUNCTION("""COMPUTED_VALUE"""),"Model S 85")</f>
        <v>Model S 85</v>
      </c>
      <c r="D1543">
        <f ca="1">IFERROR(__xludf.DUMMYFUNCTION("""COMPUTED_VALUE"""),7024)</f>
        <v>7024</v>
      </c>
      <c r="E1543">
        <f ca="1">IFERROR(__xludf.DUMMYFUNCTION("""COMPUTED_VALUE"""),393)</f>
        <v>393</v>
      </c>
      <c r="F1543">
        <v>395</v>
      </c>
      <c r="G1543">
        <v>0.99493670886075947</v>
      </c>
      <c r="H1543">
        <v>4365</v>
      </c>
      <c r="I1543">
        <v>7024</v>
      </c>
      <c r="J1543">
        <v>4365</v>
      </c>
      <c r="K1543">
        <v>0.99523070744913766</v>
      </c>
      <c r="L1543">
        <f t="shared" ca="1" si="156"/>
        <v>244.198803</v>
      </c>
      <c r="M1543">
        <f t="shared" si="157"/>
        <v>245.44154499999999</v>
      </c>
      <c r="N1543">
        <v>4365</v>
      </c>
      <c r="O1543">
        <f t="shared" ca="1" si="158"/>
        <v>0.99493670886075958</v>
      </c>
    </row>
    <row r="1544" spans="1:15" x14ac:dyDescent="0.2">
      <c r="A1544" t="str">
        <f ca="1">IFERROR(__xludf.DUMMYFUNCTION("""COMPUTED_VALUE"""),"km")</f>
        <v>km</v>
      </c>
      <c r="B1544" t="str">
        <f ca="1">IFERROR(__xludf.DUMMYFUNCTION("""COMPUTED_VALUE"""),"Model S 85")</f>
        <v>Model S 85</v>
      </c>
      <c r="D1544">
        <f ca="1">IFERROR(__xludf.DUMMYFUNCTION("""COMPUTED_VALUE"""),33366)</f>
        <v>33366</v>
      </c>
      <c r="E1544">
        <f ca="1">IFERROR(__xludf.DUMMYFUNCTION("""COMPUTED_VALUE"""),393)</f>
        <v>393</v>
      </c>
      <c r="F1544">
        <v>395</v>
      </c>
      <c r="G1544">
        <v>0.99493670886075947</v>
      </c>
      <c r="H1544">
        <v>20733</v>
      </c>
      <c r="I1544">
        <v>33366</v>
      </c>
      <c r="J1544">
        <v>20733</v>
      </c>
      <c r="K1544">
        <v>0.97814307384200272</v>
      </c>
      <c r="L1544">
        <f t="shared" ca="1" si="156"/>
        <v>244.198803</v>
      </c>
      <c r="M1544">
        <f t="shared" si="157"/>
        <v>245.44154499999999</v>
      </c>
      <c r="N1544">
        <v>20733</v>
      </c>
      <c r="O1544">
        <f t="shared" ca="1" si="158"/>
        <v>0.99493670886075958</v>
      </c>
    </row>
    <row r="1545" spans="1:15" x14ac:dyDescent="0.2">
      <c r="A1545" t="str">
        <f ca="1">IFERROR(__xludf.DUMMYFUNCTION("""COMPUTED_VALUE"""),"km")</f>
        <v>km</v>
      </c>
      <c r="B1545" t="str">
        <f ca="1">IFERROR(__xludf.DUMMYFUNCTION("""COMPUTED_VALUE"""),"Model X 90D")</f>
        <v>Model X 90D</v>
      </c>
      <c r="C1545">
        <f ca="1">IFERROR(__xludf.DUMMYFUNCTION("""COMPUTED_VALUE"""),402)</f>
        <v>402</v>
      </c>
      <c r="D1545">
        <f ca="1">IFERROR(__xludf.DUMMYFUNCTION("""COMPUTED_VALUE"""),24980)</f>
        <v>24980</v>
      </c>
      <c r="E1545">
        <f ca="1">IFERROR(__xludf.DUMMYFUNCTION("""COMPUTED_VALUE"""),398)</f>
        <v>398</v>
      </c>
      <c r="F1545">
        <v>400</v>
      </c>
      <c r="G1545">
        <v>0.995</v>
      </c>
      <c r="H1545">
        <v>15522</v>
      </c>
      <c r="I1545">
        <v>24980</v>
      </c>
      <c r="J1545">
        <v>15522</v>
      </c>
      <c r="K1545">
        <v>0.98344482781882236</v>
      </c>
      <c r="L1545">
        <f t="shared" ca="1" si="156"/>
        <v>247.30565799999999</v>
      </c>
      <c r="M1545">
        <f t="shared" si="157"/>
        <v>248.54840000000002</v>
      </c>
      <c r="N1545">
        <v>15522</v>
      </c>
      <c r="O1545">
        <f t="shared" ca="1" si="158"/>
        <v>0.99499999999999988</v>
      </c>
    </row>
    <row r="1546" spans="1:15" x14ac:dyDescent="0.2">
      <c r="A1546" t="str">
        <f ca="1">IFERROR(__xludf.DUMMYFUNCTION("""COMPUTED_VALUE"""),"km")</f>
        <v>km</v>
      </c>
      <c r="B1546" t="str">
        <f ca="1">IFERROR(__xludf.DUMMYFUNCTION("""COMPUTED_VALUE"""),"Model S 90D")</f>
        <v>Model S 90D</v>
      </c>
      <c r="C1546">
        <f ca="1">IFERROR(__xludf.DUMMYFUNCTION("""COMPUTED_VALUE"""),450)</f>
        <v>450</v>
      </c>
      <c r="D1546">
        <f ca="1">IFERROR(__xludf.DUMMYFUNCTION("""COMPUTED_VALUE"""),10177)</f>
        <v>10177</v>
      </c>
      <c r="E1546">
        <f ca="1">IFERROR(__xludf.DUMMYFUNCTION("""COMPUTED_VALUE"""),444.8)</f>
        <v>444.8</v>
      </c>
      <c r="F1546">
        <v>447</v>
      </c>
      <c r="G1546">
        <v>0.99507829977628637</v>
      </c>
      <c r="H1546">
        <v>6324</v>
      </c>
      <c r="I1546">
        <v>10177</v>
      </c>
      <c r="J1546">
        <v>6324</v>
      </c>
      <c r="K1546">
        <v>0.99311872082329788</v>
      </c>
      <c r="L1546">
        <f t="shared" ca="1" si="156"/>
        <v>276.38582080000003</v>
      </c>
      <c r="M1546">
        <f t="shared" si="157"/>
        <v>277.752837</v>
      </c>
      <c r="N1546">
        <v>6324</v>
      </c>
      <c r="O1546">
        <f t="shared" ca="1" si="158"/>
        <v>0.99507829977628648</v>
      </c>
    </row>
    <row r="1547" spans="1:15" x14ac:dyDescent="0.2">
      <c r="A1547" t="str">
        <f ca="1">IFERROR(__xludf.DUMMYFUNCTION("""COMPUTED_VALUE"""),"km")</f>
        <v>km</v>
      </c>
      <c r="B1547" t="str">
        <f ca="1">IFERROR(__xludf.DUMMYFUNCTION("""COMPUTED_VALUE"""),"Model S 85D")</f>
        <v>Model S 85D</v>
      </c>
      <c r="D1547">
        <f ca="1">IFERROR(__xludf.DUMMYFUNCTION("""COMPUTED_VALUE"""),6900)</f>
        <v>6900</v>
      </c>
      <c r="E1547">
        <f ca="1">IFERROR(__xludf.DUMMYFUNCTION("""COMPUTED_VALUE"""),423)</f>
        <v>423</v>
      </c>
      <c r="F1547">
        <v>425</v>
      </c>
      <c r="G1547">
        <v>0.99529411764705877</v>
      </c>
      <c r="H1547">
        <v>4287</v>
      </c>
      <c r="I1547">
        <v>6900</v>
      </c>
      <c r="J1547">
        <v>4287</v>
      </c>
      <c r="K1547">
        <v>0.99531413378281974</v>
      </c>
      <c r="L1547">
        <f t="shared" ca="1" si="156"/>
        <v>262.83993300000003</v>
      </c>
      <c r="M1547">
        <f t="shared" si="157"/>
        <v>264.08267499999999</v>
      </c>
      <c r="N1547">
        <v>4287</v>
      </c>
      <c r="O1547">
        <f t="shared" ca="1" si="158"/>
        <v>0.995294117647059</v>
      </c>
    </row>
    <row r="1548" spans="1:15" x14ac:dyDescent="0.2">
      <c r="A1548" t="str">
        <f ca="1">IFERROR(__xludf.DUMMYFUNCTION("""COMPUTED_VALUE"""),"km")</f>
        <v>km</v>
      </c>
      <c r="B1548" t="str">
        <f ca="1">IFERROR(__xludf.DUMMYFUNCTION("""COMPUTED_VALUE"""),"Model S 85")</f>
        <v>Model S 85</v>
      </c>
      <c r="D1548">
        <f ca="1">IFERROR(__xludf.DUMMYFUNCTION("""COMPUTED_VALUE"""),145708)</f>
        <v>145708</v>
      </c>
      <c r="E1548">
        <f ca="1">IFERROR(__xludf.DUMMYFUNCTION("""COMPUTED_VALUE"""),426)</f>
        <v>426</v>
      </c>
      <c r="F1548">
        <v>428</v>
      </c>
      <c r="G1548">
        <v>0.99532710280373837</v>
      </c>
      <c r="H1548">
        <v>90539</v>
      </c>
      <c r="I1548">
        <v>145708</v>
      </c>
      <c r="J1548">
        <v>90539</v>
      </c>
      <c r="K1548">
        <v>0.92023501857059697</v>
      </c>
      <c r="L1548">
        <f t="shared" ca="1" si="156"/>
        <v>264.70404600000001</v>
      </c>
      <c r="M1548">
        <f t="shared" si="157"/>
        <v>265.94678800000003</v>
      </c>
      <c r="N1548">
        <v>90539</v>
      </c>
      <c r="O1548">
        <f t="shared" ca="1" si="158"/>
        <v>0.99532710280373826</v>
      </c>
    </row>
    <row r="1549" spans="1:15" x14ac:dyDescent="0.2">
      <c r="A1549" t="str">
        <f ca="1">IFERROR(__xludf.DUMMYFUNCTION("""COMPUTED_VALUE"""),"mi")</f>
        <v>mi</v>
      </c>
      <c r="B1549" t="str">
        <f ca="1">IFERROR(__xludf.DUMMYFUNCTION("""COMPUTED_VALUE"""),"Model S 60D")</f>
        <v>Model S 60D</v>
      </c>
      <c r="C1549">
        <f ca="1">IFERROR(__xludf.DUMMYFUNCTION("""COMPUTED_VALUE"""),220)</f>
        <v>220</v>
      </c>
      <c r="D1549">
        <f ca="1">IFERROR(__xludf.DUMMYFUNCTION("""COMPUTED_VALUE"""),10654)</f>
        <v>10654</v>
      </c>
      <c r="E1549">
        <f ca="1">IFERROR(__xludf.DUMMYFUNCTION("""COMPUTED_VALUE"""),218)</f>
        <v>218</v>
      </c>
      <c r="F1549">
        <v>219</v>
      </c>
      <c r="G1549">
        <v>0.99543378995433784</v>
      </c>
      <c r="H1549">
        <v>10654</v>
      </c>
      <c r="I1549">
        <v>17146</v>
      </c>
      <c r="J1549">
        <v>10654</v>
      </c>
      <c r="K1549">
        <v>0.98851459037101419</v>
      </c>
      <c r="L1549">
        <f ca="1">IFERROR(__xludf.DUMMYFUNCTION("""COMPUTED_VALUE"""),218)</f>
        <v>218</v>
      </c>
      <c r="M1549">
        <v>219</v>
      </c>
      <c r="N1549">
        <v>10654</v>
      </c>
      <c r="O1549">
        <f t="shared" ca="1" si="158"/>
        <v>0.99543378995433784</v>
      </c>
    </row>
    <row r="1550" spans="1:15" x14ac:dyDescent="0.2">
      <c r="A1550" t="str">
        <f ca="1">IFERROR(__xludf.DUMMYFUNCTION("""COMPUTED_VALUE"""),"km")</f>
        <v>km</v>
      </c>
      <c r="B1550" t="str">
        <f ca="1">IFERROR(__xludf.DUMMYFUNCTION("""COMPUTED_VALUE"""),"Model S 90D")</f>
        <v>Model S 90D</v>
      </c>
      <c r="D1550">
        <f ca="1">IFERROR(__xludf.DUMMYFUNCTION("""COMPUTED_VALUE"""),33886)</f>
        <v>33886</v>
      </c>
      <c r="E1550">
        <f ca="1">IFERROR(__xludf.DUMMYFUNCTION("""COMPUTED_VALUE"""),445)</f>
        <v>445</v>
      </c>
      <c r="F1550">
        <v>447</v>
      </c>
      <c r="G1550">
        <v>0.99552572706935127</v>
      </c>
      <c r="H1550">
        <v>21056</v>
      </c>
      <c r="I1550">
        <v>33886</v>
      </c>
      <c r="J1550">
        <v>21056</v>
      </c>
      <c r="K1550">
        <v>0.97781861306207141</v>
      </c>
      <c r="L1550">
        <f t="shared" ref="L1550:M1553" ca="1" si="159">E1550*0.621371</f>
        <v>276.51009499999998</v>
      </c>
      <c r="M1550">
        <f t="shared" si="159"/>
        <v>277.752837</v>
      </c>
      <c r="N1550">
        <v>21056</v>
      </c>
      <c r="O1550">
        <f t="shared" ca="1" si="158"/>
        <v>0.99552572706935116</v>
      </c>
    </row>
    <row r="1551" spans="1:15" x14ac:dyDescent="0.2">
      <c r="A1551" t="str">
        <f ca="1">IFERROR(__xludf.DUMMYFUNCTION("""COMPUTED_VALUE"""),"km")</f>
        <v>km</v>
      </c>
      <c r="B1551" t="str">
        <f ca="1">IFERROR(__xludf.DUMMYFUNCTION("""COMPUTED_VALUE"""),"Model S 90D")</f>
        <v>Model S 90D</v>
      </c>
      <c r="C1551">
        <f ca="1">IFERROR(__xludf.DUMMYFUNCTION("""COMPUTED_VALUE"""),455)</f>
        <v>455</v>
      </c>
      <c r="D1551">
        <f ca="1">IFERROR(__xludf.DUMMYFUNCTION("""COMPUTED_VALUE"""),1980)</f>
        <v>1980</v>
      </c>
      <c r="E1551">
        <f ca="1">IFERROR(__xludf.DUMMYFUNCTION("""COMPUTED_VALUE"""),445)</f>
        <v>445</v>
      </c>
      <c r="F1551">
        <v>447</v>
      </c>
      <c r="G1551">
        <v>0.99552572706935127</v>
      </c>
      <c r="H1551">
        <v>1230</v>
      </c>
      <c r="I1551">
        <v>1980</v>
      </c>
      <c r="J1551">
        <v>1230</v>
      </c>
      <c r="K1551">
        <v>0.99864661435071689</v>
      </c>
      <c r="L1551">
        <f t="shared" ca="1" si="159"/>
        <v>276.51009499999998</v>
      </c>
      <c r="M1551">
        <f t="shared" si="159"/>
        <v>277.752837</v>
      </c>
      <c r="N1551">
        <v>1230</v>
      </c>
      <c r="O1551">
        <f t="shared" ca="1" si="158"/>
        <v>0.99552572706935116</v>
      </c>
    </row>
    <row r="1552" spans="1:15" x14ac:dyDescent="0.2">
      <c r="A1552" t="str">
        <f ca="1">IFERROR(__xludf.DUMMYFUNCTION("""COMPUTED_VALUE"""),"km")</f>
        <v>km</v>
      </c>
      <c r="B1552" t="str">
        <f ca="1">IFERROR(__xludf.DUMMYFUNCTION("""COMPUTED_VALUE"""),"Model S 90D")</f>
        <v>Model S 90D</v>
      </c>
      <c r="D1552">
        <f ca="1">IFERROR(__xludf.DUMMYFUNCTION("""COMPUTED_VALUE"""),4900)</f>
        <v>4900</v>
      </c>
      <c r="E1552">
        <f ca="1">IFERROR(__xludf.DUMMYFUNCTION("""COMPUTED_VALUE"""),445)</f>
        <v>445</v>
      </c>
      <c r="F1552">
        <v>447</v>
      </c>
      <c r="G1552">
        <v>0.99552572706935127</v>
      </c>
      <c r="H1552">
        <v>3045</v>
      </c>
      <c r="I1552">
        <v>4900</v>
      </c>
      <c r="J1552">
        <v>3045</v>
      </c>
      <c r="K1552">
        <v>0.99666354793848633</v>
      </c>
      <c r="L1552">
        <f t="shared" ca="1" si="159"/>
        <v>276.51009499999998</v>
      </c>
      <c r="M1552">
        <f t="shared" si="159"/>
        <v>277.752837</v>
      </c>
      <c r="N1552">
        <v>3045</v>
      </c>
      <c r="O1552">
        <f t="shared" ca="1" si="158"/>
        <v>0.99552572706935116</v>
      </c>
    </row>
    <row r="1553" spans="1:15" x14ac:dyDescent="0.2">
      <c r="A1553" t="str">
        <f ca="1">IFERROR(__xludf.DUMMYFUNCTION("""COMPUTED_VALUE"""),"km")</f>
        <v>km</v>
      </c>
      <c r="B1553" t="str">
        <f ca="1">IFERROR(__xludf.DUMMYFUNCTION("""COMPUTED_VALUE"""),"Model S 85D")</f>
        <v>Model S 85D</v>
      </c>
      <c r="C1553">
        <f ca="1">IFERROR(__xludf.DUMMYFUNCTION("""COMPUTED_VALUE"""),435)</f>
        <v>435</v>
      </c>
      <c r="D1553">
        <f ca="1">IFERROR(__xludf.DUMMYFUNCTION("""COMPUTED_VALUE"""),27015)</f>
        <v>27015</v>
      </c>
      <c r="E1553">
        <f ca="1">IFERROR(__xludf.DUMMYFUNCTION("""COMPUTED_VALUE"""),433.14)</f>
        <v>433.14</v>
      </c>
      <c r="F1553">
        <v>435</v>
      </c>
      <c r="G1553">
        <v>0.99572413793103443</v>
      </c>
      <c r="H1553">
        <v>16786</v>
      </c>
      <c r="I1553">
        <v>27015</v>
      </c>
      <c r="J1553">
        <v>16786</v>
      </c>
      <c r="K1553">
        <v>0.98214632666835611</v>
      </c>
      <c r="L1553">
        <f t="shared" ca="1" si="159"/>
        <v>269.14063493999998</v>
      </c>
      <c r="M1553">
        <f t="shared" si="159"/>
        <v>270.29638499999999</v>
      </c>
      <c r="N1553">
        <v>16786</v>
      </c>
      <c r="O1553">
        <f t="shared" ca="1" si="158"/>
        <v>0.99572413793103443</v>
      </c>
    </row>
    <row r="1554" spans="1:15" x14ac:dyDescent="0.2">
      <c r="A1554" t="str">
        <f ca="1">IFERROR(__xludf.DUMMYFUNCTION("""COMPUTED_VALUE"""),"mi")</f>
        <v>mi</v>
      </c>
      <c r="B1554" t="str">
        <f ca="1">IFERROR(__xludf.DUMMYFUNCTION("""COMPUTED_VALUE"""),"Model 3 SR+")</f>
        <v>Model 3 SR+</v>
      </c>
      <c r="C1554">
        <f ca="1">IFERROR(__xludf.DUMMYFUNCTION("""COMPUTED_VALUE"""),248)</f>
        <v>248</v>
      </c>
      <c r="D1554">
        <f ca="1">IFERROR(__xludf.DUMMYFUNCTION("""COMPUTED_VALUE"""),2365)</f>
        <v>2365</v>
      </c>
      <c r="E1554">
        <f ca="1">IFERROR(__xludf.DUMMYFUNCTION("""COMPUTED_VALUE"""),236)</f>
        <v>236</v>
      </c>
      <c r="F1554">
        <v>237</v>
      </c>
      <c r="G1554">
        <v>0.99578059071729963</v>
      </c>
      <c r="H1554">
        <v>2365</v>
      </c>
      <c r="I1554">
        <v>3806</v>
      </c>
      <c r="J1554">
        <v>2365</v>
      </c>
      <c r="K1554">
        <v>0.9974047240490006</v>
      </c>
      <c r="L1554">
        <f ca="1">IFERROR(__xludf.DUMMYFUNCTION("""COMPUTED_VALUE"""),236)</f>
        <v>236</v>
      </c>
      <c r="M1554">
        <v>237</v>
      </c>
      <c r="N1554">
        <v>2365</v>
      </c>
      <c r="O1554">
        <f t="shared" ca="1" si="158"/>
        <v>0.99578059071729963</v>
      </c>
    </row>
    <row r="1555" spans="1:15" x14ac:dyDescent="0.2">
      <c r="A1555" t="str">
        <f ca="1">IFERROR(__xludf.DUMMYFUNCTION("""COMPUTED_VALUE"""),"km")</f>
        <v>km</v>
      </c>
      <c r="B1555" t="str">
        <f ca="1">IFERROR(__xludf.DUMMYFUNCTION("""COMPUTED_VALUE"""),"Model S P100D")</f>
        <v>Model S P100D</v>
      </c>
      <c r="C1555">
        <f ca="1">IFERROR(__xludf.DUMMYFUNCTION("""COMPUTED_VALUE"""),488)</f>
        <v>488</v>
      </c>
      <c r="D1555">
        <f ca="1">IFERROR(__xludf.DUMMYFUNCTION("""COMPUTED_VALUE"""),180)</f>
        <v>180</v>
      </c>
      <c r="E1555">
        <f ca="1">IFERROR(__xludf.DUMMYFUNCTION("""COMPUTED_VALUE"""),481)</f>
        <v>481</v>
      </c>
      <c r="F1555">
        <v>483</v>
      </c>
      <c r="G1555">
        <v>0.99585921325051763</v>
      </c>
      <c r="H1555">
        <v>112</v>
      </c>
      <c r="I1555">
        <v>180</v>
      </c>
      <c r="J1555">
        <v>112</v>
      </c>
      <c r="K1555">
        <v>0.99987667480059561</v>
      </c>
      <c r="L1555">
        <f ca="1">E1555*0.621371</f>
        <v>298.87945100000002</v>
      </c>
      <c r="M1555">
        <f>F1555*0.621371</f>
        <v>300.12219299999998</v>
      </c>
      <c r="N1555">
        <v>112</v>
      </c>
      <c r="O1555">
        <f t="shared" ca="1" si="158"/>
        <v>0.99585921325051774</v>
      </c>
    </row>
    <row r="1556" spans="1:15" x14ac:dyDescent="0.2">
      <c r="A1556" t="str">
        <f ca="1">IFERROR(__xludf.DUMMYFUNCTION("""COMPUTED_VALUE"""),"km")</f>
        <v>km</v>
      </c>
      <c r="B1556" t="str">
        <f ca="1">IFERROR(__xludf.DUMMYFUNCTION("""COMPUTED_VALUE"""),"Model 3 LR AWD")</f>
        <v>Model 3 LR AWD</v>
      </c>
      <c r="C1556">
        <f ca="1">IFERROR(__xludf.DUMMYFUNCTION("""COMPUTED_VALUE"""),497)</f>
        <v>497</v>
      </c>
      <c r="D1556">
        <f ca="1">IFERROR(__xludf.DUMMYFUNCTION("""COMPUTED_VALUE"""),2500)</f>
        <v>2500</v>
      </c>
      <c r="E1556">
        <f ca="1">IFERROR(__xludf.DUMMYFUNCTION("""COMPUTED_VALUE"""),497)</f>
        <v>497</v>
      </c>
      <c r="F1556">
        <v>499</v>
      </c>
      <c r="G1556">
        <v>0.99599198396793587</v>
      </c>
      <c r="H1556">
        <v>1553</v>
      </c>
      <c r="I1556">
        <v>2500</v>
      </c>
      <c r="J1556">
        <v>1553</v>
      </c>
      <c r="K1556">
        <v>0.99829234490187158</v>
      </c>
      <c r="L1556">
        <f ca="1">E1556*0.621371</f>
        <v>308.82138700000002</v>
      </c>
      <c r="M1556">
        <f>F1556*0.621371</f>
        <v>310.06412899999998</v>
      </c>
      <c r="N1556">
        <v>1553</v>
      </c>
      <c r="O1556">
        <f t="shared" ca="1" si="158"/>
        <v>0.99599198396793598</v>
      </c>
    </row>
    <row r="1557" spans="1:15" x14ac:dyDescent="0.2">
      <c r="A1557" t="str">
        <f ca="1">IFERROR(__xludf.DUMMYFUNCTION("""COMPUTED_VALUE"""),"mi")</f>
        <v>mi</v>
      </c>
      <c r="B1557" t="str">
        <f ca="1">IFERROR(__xludf.DUMMYFUNCTION("""COMPUTED_VALUE"""),"Model S P85D")</f>
        <v>Model S P85D</v>
      </c>
      <c r="C1557">
        <f ca="1">IFERROR(__xludf.DUMMYFUNCTION("""COMPUTED_VALUE"""),256)</f>
        <v>256</v>
      </c>
      <c r="D1557">
        <f ca="1">IFERROR(__xludf.DUMMYFUNCTION("""COMPUTED_VALUE"""),11329)</f>
        <v>11329</v>
      </c>
      <c r="E1557">
        <f ca="1">IFERROR(__xludf.DUMMYFUNCTION("""COMPUTED_VALUE"""),252)</f>
        <v>252</v>
      </c>
      <c r="F1557">
        <v>253</v>
      </c>
      <c r="G1557">
        <v>0.99604743083003955</v>
      </c>
      <c r="H1557">
        <v>11329</v>
      </c>
      <c r="I1557">
        <v>18232</v>
      </c>
      <c r="J1557">
        <v>11329</v>
      </c>
      <c r="K1557">
        <v>0.98780507830009867</v>
      </c>
      <c r="L1557">
        <f ca="1">IFERROR(__xludf.DUMMYFUNCTION("""COMPUTED_VALUE"""),252)</f>
        <v>252</v>
      </c>
      <c r="M1557">
        <v>253</v>
      </c>
      <c r="N1557">
        <v>11329</v>
      </c>
      <c r="O1557">
        <f t="shared" ca="1" si="158"/>
        <v>0.99604743083003955</v>
      </c>
    </row>
    <row r="1558" spans="1:15" x14ac:dyDescent="0.2">
      <c r="A1558" t="str">
        <f ca="1">IFERROR(__xludf.DUMMYFUNCTION("""COMPUTED_VALUE"""),"mi")</f>
        <v>mi</v>
      </c>
      <c r="B1558" t="str">
        <f ca="1">IFERROR(__xludf.DUMMYFUNCTION("""COMPUTED_VALUE"""),"Model X 90D")</f>
        <v>Model X 90D</v>
      </c>
      <c r="C1558">
        <f ca="1">IFERROR(__xludf.DUMMYFUNCTION("""COMPUTED_VALUE"""),260)</f>
        <v>260</v>
      </c>
      <c r="D1558">
        <f ca="1">IFERROR(__xludf.DUMMYFUNCTION("""COMPUTED_VALUE"""),28287)</f>
        <v>28287</v>
      </c>
      <c r="E1558">
        <f ca="1">IFERROR(__xludf.DUMMYFUNCTION("""COMPUTED_VALUE"""),256)</f>
        <v>256</v>
      </c>
      <c r="F1558">
        <v>257</v>
      </c>
      <c r="G1558">
        <v>0.99610894941634243</v>
      </c>
      <c r="H1558">
        <v>28287</v>
      </c>
      <c r="I1558">
        <v>45524</v>
      </c>
      <c r="J1558">
        <v>28287</v>
      </c>
      <c r="K1558">
        <v>0.9706890565919547</v>
      </c>
      <c r="L1558">
        <f ca="1">IFERROR(__xludf.DUMMYFUNCTION("""COMPUTED_VALUE"""),256)</f>
        <v>256</v>
      </c>
      <c r="M1558">
        <v>257</v>
      </c>
      <c r="N1558">
        <v>28287</v>
      </c>
      <c r="O1558">
        <f t="shared" ca="1" si="158"/>
        <v>0.99610894941634243</v>
      </c>
    </row>
    <row r="1559" spans="1:15" x14ac:dyDescent="0.2">
      <c r="A1559" t="str">
        <f ca="1">IFERROR(__xludf.DUMMYFUNCTION("""COMPUTED_VALUE"""),"mi")</f>
        <v>mi</v>
      </c>
      <c r="B1559" t="str">
        <f ca="1">IFERROR(__xludf.DUMMYFUNCTION("""COMPUTED_VALUE"""),"Model S 85")</f>
        <v>Model S 85</v>
      </c>
      <c r="C1559">
        <f ca="1">IFERROR(__xludf.DUMMYFUNCTION("""COMPUTED_VALUE"""),267)</f>
        <v>267</v>
      </c>
      <c r="D1559">
        <f ca="1">IFERROR(__xludf.DUMMYFUNCTION("""COMPUTED_VALUE"""),25772)</f>
        <v>25772</v>
      </c>
      <c r="E1559">
        <f ca="1">IFERROR(__xludf.DUMMYFUNCTION("""COMPUTED_VALUE"""),265)</f>
        <v>265</v>
      </c>
      <c r="F1559">
        <v>266</v>
      </c>
      <c r="G1559">
        <v>0.99624060150375937</v>
      </c>
      <c r="H1559">
        <v>25772</v>
      </c>
      <c r="I1559">
        <v>41476</v>
      </c>
      <c r="J1559">
        <v>25772</v>
      </c>
      <c r="K1559">
        <v>0.97314012433753039</v>
      </c>
      <c r="L1559">
        <f ca="1">IFERROR(__xludf.DUMMYFUNCTION("""COMPUTED_VALUE"""),265)</f>
        <v>265</v>
      </c>
      <c r="M1559">
        <v>266</v>
      </c>
      <c r="N1559">
        <v>25772</v>
      </c>
      <c r="O1559">
        <f t="shared" ca="1" si="158"/>
        <v>0.99624060150375937</v>
      </c>
    </row>
    <row r="1560" spans="1:15" x14ac:dyDescent="0.2">
      <c r="A1560" t="str">
        <f ca="1">IFERROR(__xludf.DUMMYFUNCTION("""COMPUTED_VALUE"""),"mi")</f>
        <v>mi</v>
      </c>
      <c r="B1560" t="str">
        <f ca="1">IFERROR(__xludf.DUMMYFUNCTION("""COMPUTED_VALUE"""),"Model S 85")</f>
        <v>Model S 85</v>
      </c>
      <c r="D1560">
        <f ca="1">IFERROR(__xludf.DUMMYFUNCTION("""COMPUTED_VALUE"""),23298)</f>
        <v>23298</v>
      </c>
      <c r="E1560">
        <f ca="1">IFERROR(__xludf.DUMMYFUNCTION("""COMPUTED_VALUE"""),265)</f>
        <v>265</v>
      </c>
      <c r="F1560">
        <v>266</v>
      </c>
      <c r="G1560">
        <v>0.99624060150375937</v>
      </c>
      <c r="H1560">
        <v>23298</v>
      </c>
      <c r="I1560">
        <v>37494</v>
      </c>
      <c r="J1560">
        <v>23298</v>
      </c>
      <c r="K1560">
        <v>0.97558121974921708</v>
      </c>
      <c r="L1560">
        <f ca="1">IFERROR(__xludf.DUMMYFUNCTION("""COMPUTED_VALUE"""),265)</f>
        <v>265</v>
      </c>
      <c r="M1560">
        <v>266</v>
      </c>
      <c r="N1560">
        <v>23298</v>
      </c>
      <c r="O1560">
        <f t="shared" ca="1" si="158"/>
        <v>0.99624060150375937</v>
      </c>
    </row>
    <row r="1561" spans="1:15" x14ac:dyDescent="0.2">
      <c r="A1561" t="str">
        <f ca="1">IFERROR(__xludf.DUMMYFUNCTION("""COMPUTED_VALUE"""),"mi")</f>
        <v>mi</v>
      </c>
      <c r="B1561" t="str">
        <f ca="1">IFERROR(__xludf.DUMMYFUNCTION("""COMPUTED_VALUE"""),"Model S 85D")</f>
        <v>Model S 85D</v>
      </c>
      <c r="D1561">
        <f ca="1">IFERROR(__xludf.DUMMYFUNCTION("""COMPUTED_VALUE"""),13679)</f>
        <v>13679</v>
      </c>
      <c r="E1561">
        <f ca="1">IFERROR(__xludf.DUMMYFUNCTION("""COMPUTED_VALUE"""),269)</f>
        <v>269</v>
      </c>
      <c r="F1561">
        <v>270</v>
      </c>
      <c r="G1561">
        <v>0.99629629629629635</v>
      </c>
      <c r="H1561">
        <v>13679</v>
      </c>
      <c r="I1561">
        <v>22014</v>
      </c>
      <c r="J1561">
        <v>13679</v>
      </c>
      <c r="K1561">
        <v>0.98535103425038606</v>
      </c>
      <c r="L1561">
        <f ca="1">IFERROR(__xludf.DUMMYFUNCTION("""COMPUTED_VALUE"""),269)</f>
        <v>269</v>
      </c>
      <c r="M1561">
        <v>270</v>
      </c>
      <c r="N1561">
        <v>13679</v>
      </c>
      <c r="O1561">
        <f t="shared" ca="1" si="158"/>
        <v>0.99629629629629635</v>
      </c>
    </row>
    <row r="1562" spans="1:15" x14ac:dyDescent="0.2">
      <c r="A1562" t="str">
        <f ca="1">IFERROR(__xludf.DUMMYFUNCTION("""COMPUTED_VALUE"""),"mi")</f>
        <v>mi</v>
      </c>
      <c r="B1562" t="str">
        <f ca="1">IFERROR(__xludf.DUMMYFUNCTION("""COMPUTED_VALUE"""),"Model S 90D")</f>
        <v>Model S 90D</v>
      </c>
      <c r="C1562">
        <f ca="1">IFERROR(__xludf.DUMMYFUNCTION("""COMPUTED_VALUE"""),295)</f>
        <v>295</v>
      </c>
      <c r="D1562">
        <f ca="1">IFERROR(__xludf.DUMMYFUNCTION("""COMPUTED_VALUE"""),14472)</f>
        <v>14472</v>
      </c>
      <c r="E1562">
        <f ca="1">IFERROR(__xludf.DUMMYFUNCTION("""COMPUTED_VALUE"""),291)</f>
        <v>291</v>
      </c>
      <c r="F1562">
        <v>292</v>
      </c>
      <c r="G1562">
        <v>0.99657534246575341</v>
      </c>
      <c r="H1562">
        <v>14472</v>
      </c>
      <c r="I1562">
        <v>23290</v>
      </c>
      <c r="J1562">
        <v>14472</v>
      </c>
      <c r="K1562">
        <v>0.98452898550537271</v>
      </c>
      <c r="L1562">
        <f ca="1">IFERROR(__xludf.DUMMYFUNCTION("""COMPUTED_VALUE"""),291)</f>
        <v>291</v>
      </c>
      <c r="M1562">
        <v>292</v>
      </c>
      <c r="N1562">
        <v>14472</v>
      </c>
      <c r="O1562">
        <f t="shared" ca="1" si="158"/>
        <v>0.99657534246575341</v>
      </c>
    </row>
    <row r="1563" spans="1:15" x14ac:dyDescent="0.2">
      <c r="A1563" t="str">
        <f ca="1">IFERROR(__xludf.DUMMYFUNCTION("""COMPUTED_VALUE"""),"mi")</f>
        <v>mi</v>
      </c>
      <c r="B1563" t="str">
        <f ca="1">IFERROR(__xludf.DUMMYFUNCTION("""COMPUTED_VALUE"""),"Model S 90D")</f>
        <v>Model S 90D</v>
      </c>
      <c r="C1563">
        <f ca="1">IFERROR(__xludf.DUMMYFUNCTION("""COMPUTED_VALUE"""),293)</f>
        <v>293</v>
      </c>
      <c r="D1563">
        <f ca="1">IFERROR(__xludf.DUMMYFUNCTION("""COMPUTED_VALUE"""),5000)</f>
        <v>5000</v>
      </c>
      <c r="E1563">
        <f ca="1">IFERROR(__xludf.DUMMYFUNCTION("""COMPUTED_VALUE"""),291)</f>
        <v>291</v>
      </c>
      <c r="F1563">
        <v>292</v>
      </c>
      <c r="G1563">
        <v>0.99657534246575341</v>
      </c>
      <c r="H1563">
        <v>5000</v>
      </c>
      <c r="I1563">
        <v>8047</v>
      </c>
      <c r="J1563">
        <v>5000</v>
      </c>
      <c r="K1563">
        <v>0.99454349886048132</v>
      </c>
      <c r="L1563">
        <f ca="1">IFERROR(__xludf.DUMMYFUNCTION("""COMPUTED_VALUE"""),291)</f>
        <v>291</v>
      </c>
      <c r="M1563">
        <v>292</v>
      </c>
      <c r="N1563">
        <v>5000</v>
      </c>
      <c r="O1563">
        <f t="shared" ca="1" si="158"/>
        <v>0.99657534246575341</v>
      </c>
    </row>
    <row r="1564" spans="1:15" x14ac:dyDescent="0.2">
      <c r="A1564" t="str">
        <f ca="1">IFERROR(__xludf.DUMMYFUNCTION("""COMPUTED_VALUE"""),"km")</f>
        <v>km</v>
      </c>
      <c r="B1564" t="str">
        <f ca="1">IFERROR(__xludf.DUMMYFUNCTION("""COMPUTED_VALUE"""),"Model S 60D")</f>
        <v>Model S 60D</v>
      </c>
      <c r="D1564">
        <f ca="1">IFERROR(__xludf.DUMMYFUNCTION("""COMPUTED_VALUE"""),572)</f>
        <v>572</v>
      </c>
      <c r="E1564">
        <f ca="1">IFERROR(__xludf.DUMMYFUNCTION("""COMPUTED_VALUE"""),351)</f>
        <v>351</v>
      </c>
      <c r="F1564">
        <v>352</v>
      </c>
      <c r="G1564">
        <v>0.99715909090909094</v>
      </c>
      <c r="H1564">
        <v>355</v>
      </c>
      <c r="I1564">
        <v>572</v>
      </c>
      <c r="J1564">
        <v>355</v>
      </c>
      <c r="K1564">
        <v>0.99960830060637529</v>
      </c>
      <c r="L1564">
        <f t="shared" ref="L1564:L1594" ca="1" si="160">E1564*0.621371</f>
        <v>218.10122100000001</v>
      </c>
      <c r="M1564">
        <f t="shared" ref="M1564:M1594" si="161">F1564*0.621371</f>
        <v>218.72259199999999</v>
      </c>
      <c r="N1564">
        <v>355</v>
      </c>
      <c r="O1564">
        <f t="shared" ca="1" si="158"/>
        <v>0.99715909090909094</v>
      </c>
    </row>
    <row r="1565" spans="1:15" x14ac:dyDescent="0.2">
      <c r="A1565" t="str">
        <f ca="1">IFERROR(__xludf.DUMMYFUNCTION("""COMPUTED_VALUE"""),"km")</f>
        <v>km</v>
      </c>
      <c r="B1565" t="str">
        <f ca="1">IFERROR(__xludf.DUMMYFUNCTION("""COMPUTED_VALUE"""),"Model S 70D")</f>
        <v>Model S 70D</v>
      </c>
      <c r="C1565">
        <f ca="1">IFERROR(__xludf.DUMMYFUNCTION("""COMPUTED_VALUE"""),361)</f>
        <v>361</v>
      </c>
      <c r="D1565">
        <f ca="1">IFERROR(__xludf.DUMMYFUNCTION("""COMPUTED_VALUE"""),27991)</f>
        <v>27991</v>
      </c>
      <c r="E1565">
        <f ca="1">IFERROR(__xludf.DUMMYFUNCTION("""COMPUTED_VALUE"""),359)</f>
        <v>359</v>
      </c>
      <c r="F1565">
        <v>360</v>
      </c>
      <c r="G1565">
        <v>0.99722222222222223</v>
      </c>
      <c r="H1565">
        <v>17393</v>
      </c>
      <c r="I1565">
        <v>27991</v>
      </c>
      <c r="J1565">
        <v>17393</v>
      </c>
      <c r="K1565">
        <v>0.98152626686844591</v>
      </c>
      <c r="L1565">
        <f t="shared" ca="1" si="160"/>
        <v>223.07218900000001</v>
      </c>
      <c r="M1565">
        <f t="shared" si="161"/>
        <v>223.69355999999999</v>
      </c>
      <c r="N1565">
        <v>17393</v>
      </c>
      <c r="O1565">
        <f t="shared" ca="1" si="158"/>
        <v>0.99722222222222234</v>
      </c>
    </row>
    <row r="1566" spans="1:15" x14ac:dyDescent="0.2">
      <c r="A1566" t="str">
        <f ca="1">IFERROR(__xludf.DUMMYFUNCTION("""COMPUTED_VALUE"""),"km")</f>
        <v>km</v>
      </c>
      <c r="B1566" t="str">
        <f ca="1">IFERROR(__xludf.DUMMYFUNCTION("""COMPUTED_VALUE"""),"Model S 70D")</f>
        <v>Model S 70D</v>
      </c>
      <c r="D1566">
        <f ca="1">IFERROR(__xludf.DUMMYFUNCTION("""COMPUTED_VALUE"""),28514)</f>
        <v>28514</v>
      </c>
      <c r="E1566">
        <f ca="1">IFERROR(__xludf.DUMMYFUNCTION("""COMPUTED_VALUE"""),359)</f>
        <v>359</v>
      </c>
      <c r="F1566">
        <v>360</v>
      </c>
      <c r="G1566">
        <v>0.99722222222222223</v>
      </c>
      <c r="H1566">
        <v>17718</v>
      </c>
      <c r="I1566">
        <v>28514</v>
      </c>
      <c r="J1566">
        <v>17718</v>
      </c>
      <c r="K1566">
        <v>0.981194725217303</v>
      </c>
      <c r="L1566">
        <f t="shared" ca="1" si="160"/>
        <v>223.07218900000001</v>
      </c>
      <c r="M1566">
        <f t="shared" si="161"/>
        <v>223.69355999999999</v>
      </c>
      <c r="N1566">
        <v>17718</v>
      </c>
      <c r="O1566">
        <f t="shared" ca="1" si="158"/>
        <v>0.99722222222222234</v>
      </c>
    </row>
    <row r="1567" spans="1:15" x14ac:dyDescent="0.2">
      <c r="A1567" t="str">
        <f ca="1">IFERROR(__xludf.DUMMYFUNCTION("""COMPUTED_VALUE"""),"km")</f>
        <v>km</v>
      </c>
      <c r="B1567" t="str">
        <f ca="1">IFERROR(__xludf.DUMMYFUNCTION("""COMPUTED_VALUE"""),"Model S 70D")</f>
        <v>Model S 70D</v>
      </c>
      <c r="D1567">
        <f ca="1">IFERROR(__xludf.DUMMYFUNCTION("""COMPUTED_VALUE"""),24088)</f>
        <v>24088</v>
      </c>
      <c r="E1567">
        <f ca="1">IFERROR(__xludf.DUMMYFUNCTION("""COMPUTED_VALUE"""),359)</f>
        <v>359</v>
      </c>
      <c r="F1567">
        <v>360</v>
      </c>
      <c r="G1567">
        <v>0.99722222222222223</v>
      </c>
      <c r="H1567">
        <v>14968</v>
      </c>
      <c r="I1567">
        <v>24088</v>
      </c>
      <c r="J1567">
        <v>14968</v>
      </c>
      <c r="K1567">
        <v>0.98401640320455108</v>
      </c>
      <c r="L1567">
        <f t="shared" ca="1" si="160"/>
        <v>223.07218900000001</v>
      </c>
      <c r="M1567">
        <f t="shared" si="161"/>
        <v>223.69355999999999</v>
      </c>
      <c r="N1567">
        <v>14968</v>
      </c>
      <c r="O1567">
        <f t="shared" ca="1" si="158"/>
        <v>0.99722222222222234</v>
      </c>
    </row>
    <row r="1568" spans="1:15" x14ac:dyDescent="0.2">
      <c r="A1568" t="str">
        <f ca="1">IFERROR(__xludf.DUMMYFUNCTION("""COMPUTED_VALUE"""),"km")</f>
        <v>km</v>
      </c>
      <c r="B1568" t="str">
        <f ca="1">IFERROR(__xludf.DUMMYFUNCTION("""COMPUTED_VALUE"""),"Model S 70D")</f>
        <v>Model S 70D</v>
      </c>
      <c r="C1568">
        <f ca="1">IFERROR(__xludf.DUMMYFUNCTION("""COMPUTED_VALUE"""),359)</f>
        <v>359</v>
      </c>
      <c r="D1568">
        <f ca="1">IFERROR(__xludf.DUMMYFUNCTION("""COMPUTED_VALUE"""),20300)</f>
        <v>20300</v>
      </c>
      <c r="E1568">
        <f ca="1">IFERROR(__xludf.DUMMYFUNCTION("""COMPUTED_VALUE"""),359)</f>
        <v>359</v>
      </c>
      <c r="F1568">
        <v>360</v>
      </c>
      <c r="G1568">
        <v>0.99722222222222223</v>
      </c>
      <c r="H1568">
        <v>12614</v>
      </c>
      <c r="I1568">
        <v>20300</v>
      </c>
      <c r="J1568">
        <v>12614</v>
      </c>
      <c r="K1568">
        <v>0.98645996041144079</v>
      </c>
      <c r="L1568">
        <f t="shared" ca="1" si="160"/>
        <v>223.07218900000001</v>
      </c>
      <c r="M1568">
        <f t="shared" si="161"/>
        <v>223.69355999999999</v>
      </c>
      <c r="N1568">
        <v>12614</v>
      </c>
      <c r="O1568">
        <f t="shared" ca="1" si="158"/>
        <v>0.99722222222222234</v>
      </c>
    </row>
    <row r="1569" spans="1:15" x14ac:dyDescent="0.2">
      <c r="A1569" t="str">
        <f ca="1">IFERROR(__xludf.DUMMYFUNCTION("""COMPUTED_VALUE"""),"km")</f>
        <v>km</v>
      </c>
      <c r="B1569" t="str">
        <f ca="1">IFERROR(__xludf.DUMMYFUNCTION("""COMPUTED_VALUE"""),"Model S 70D")</f>
        <v>Model S 70D</v>
      </c>
      <c r="D1569">
        <f ca="1">IFERROR(__xludf.DUMMYFUNCTION("""COMPUTED_VALUE"""),18300)</f>
        <v>18300</v>
      </c>
      <c r="E1569">
        <f ca="1">IFERROR(__xludf.DUMMYFUNCTION("""COMPUTED_VALUE"""),359)</f>
        <v>359</v>
      </c>
      <c r="F1569">
        <v>360</v>
      </c>
      <c r="G1569">
        <v>0.99722222222222223</v>
      </c>
      <c r="H1569">
        <v>11371</v>
      </c>
      <c r="I1569">
        <v>18300</v>
      </c>
      <c r="J1569">
        <v>11371</v>
      </c>
      <c r="K1569">
        <v>0.98776072378468882</v>
      </c>
      <c r="L1569">
        <f t="shared" ca="1" si="160"/>
        <v>223.07218900000001</v>
      </c>
      <c r="M1569">
        <f t="shared" si="161"/>
        <v>223.69355999999999</v>
      </c>
      <c r="N1569">
        <v>11371</v>
      </c>
      <c r="O1569">
        <f t="shared" ca="1" si="158"/>
        <v>0.99722222222222234</v>
      </c>
    </row>
    <row r="1570" spans="1:15" x14ac:dyDescent="0.2">
      <c r="A1570" t="str">
        <f ca="1">IFERROR(__xludf.DUMMYFUNCTION("""COMPUTED_VALUE"""),"km")</f>
        <v>km</v>
      </c>
      <c r="B1570" t="str">
        <f ca="1">IFERROR(__xludf.DUMMYFUNCTION("""COMPUTED_VALUE"""),"Model S 70D")</f>
        <v>Model S 70D</v>
      </c>
      <c r="C1570">
        <f ca="1">IFERROR(__xludf.DUMMYFUNCTION("""COMPUTED_VALUE"""),358)</f>
        <v>358</v>
      </c>
      <c r="D1570">
        <f ca="1">IFERROR(__xludf.DUMMYFUNCTION("""COMPUTED_VALUE"""),513)</f>
        <v>513</v>
      </c>
      <c r="E1570">
        <f ca="1">IFERROR(__xludf.DUMMYFUNCTION("""COMPUTED_VALUE"""),359)</f>
        <v>359</v>
      </c>
      <c r="F1570">
        <v>360</v>
      </c>
      <c r="G1570">
        <v>0.99722222222222223</v>
      </c>
      <c r="H1570">
        <v>319</v>
      </c>
      <c r="I1570">
        <v>513</v>
      </c>
      <c r="J1570">
        <v>319</v>
      </c>
      <c r="K1570">
        <v>0.99964867607328767</v>
      </c>
      <c r="L1570">
        <f t="shared" ca="1" si="160"/>
        <v>223.07218900000001</v>
      </c>
      <c r="M1570">
        <f t="shared" si="161"/>
        <v>223.69355999999999</v>
      </c>
      <c r="N1570">
        <v>319</v>
      </c>
      <c r="O1570">
        <f t="shared" ca="1" si="158"/>
        <v>0.99722222222222234</v>
      </c>
    </row>
    <row r="1571" spans="1:15" x14ac:dyDescent="0.2">
      <c r="A1571" t="str">
        <f ca="1">IFERROR(__xludf.DUMMYFUNCTION("""COMPUTED_VALUE"""),"km")</f>
        <v>km</v>
      </c>
      <c r="B1571" t="str">
        <f ca="1">IFERROR(__xludf.DUMMYFUNCTION("""COMPUTED_VALUE"""),"Model X P90D")</f>
        <v>Model X P90D</v>
      </c>
      <c r="D1571">
        <f ca="1">IFERROR(__xludf.DUMMYFUNCTION("""COMPUTED_VALUE"""),2746)</f>
        <v>2746</v>
      </c>
      <c r="E1571">
        <f ca="1">IFERROR(__xludf.DUMMYFUNCTION("""COMPUTED_VALUE"""),378)</f>
        <v>378</v>
      </c>
      <c r="F1571">
        <v>379</v>
      </c>
      <c r="G1571">
        <v>0.99736147757255933</v>
      </c>
      <c r="H1571">
        <v>1706</v>
      </c>
      <c r="I1571">
        <v>2746</v>
      </c>
      <c r="J1571">
        <v>1706</v>
      </c>
      <c r="K1571">
        <v>0.99812491726837238</v>
      </c>
      <c r="L1571">
        <f t="shared" ca="1" si="160"/>
        <v>234.87823800000001</v>
      </c>
      <c r="M1571">
        <f t="shared" si="161"/>
        <v>235.49960899999999</v>
      </c>
      <c r="N1571">
        <v>1706</v>
      </c>
      <c r="O1571">
        <f t="shared" ca="1" si="158"/>
        <v>0.99736147757255944</v>
      </c>
    </row>
    <row r="1572" spans="1:15" x14ac:dyDescent="0.2">
      <c r="A1572" t="str">
        <f ca="1">IFERROR(__xludf.DUMMYFUNCTION("""COMPUTED_VALUE"""),"km")</f>
        <v>km</v>
      </c>
      <c r="B1572" t="str">
        <f ca="1">IFERROR(__xludf.DUMMYFUNCTION("""COMPUTED_VALUE"""),"Model S 75D")</f>
        <v>Model S 75D</v>
      </c>
      <c r="D1572">
        <f ca="1">IFERROR(__xludf.DUMMYFUNCTION("""COMPUTED_VALUE"""),2430)</f>
        <v>2430</v>
      </c>
      <c r="E1572">
        <f ca="1">IFERROR(__xludf.DUMMYFUNCTION("""COMPUTED_VALUE"""),383)</f>
        <v>383</v>
      </c>
      <c r="F1572">
        <v>384</v>
      </c>
      <c r="G1572">
        <v>0.99739583333333337</v>
      </c>
      <c r="H1572">
        <v>1510</v>
      </c>
      <c r="I1572">
        <v>2430</v>
      </c>
      <c r="J1572">
        <v>1510</v>
      </c>
      <c r="K1572">
        <v>0.99834000676114365</v>
      </c>
      <c r="L1572">
        <f t="shared" ca="1" si="160"/>
        <v>237.98509300000001</v>
      </c>
      <c r="M1572">
        <f t="shared" si="161"/>
        <v>238.60646400000002</v>
      </c>
      <c r="N1572">
        <v>1510</v>
      </c>
      <c r="O1572">
        <f t="shared" ca="1" si="158"/>
        <v>0.99739583333333326</v>
      </c>
    </row>
    <row r="1573" spans="1:15" x14ac:dyDescent="0.2">
      <c r="A1573" t="str">
        <f ca="1">IFERROR(__xludf.DUMMYFUNCTION("""COMPUTED_VALUE"""),"km")</f>
        <v>km</v>
      </c>
      <c r="B1573" t="str">
        <f ca="1">IFERROR(__xludf.DUMMYFUNCTION("""COMPUTED_VALUE"""),"Model S 75D")</f>
        <v>Model S 75D</v>
      </c>
      <c r="C1573">
        <f ca="1">IFERROR(__xludf.DUMMYFUNCTION("""COMPUTED_VALUE"""),387)</f>
        <v>387</v>
      </c>
      <c r="D1573">
        <f ca="1">IFERROR(__xludf.DUMMYFUNCTION("""COMPUTED_VALUE"""),19529)</f>
        <v>19529</v>
      </c>
      <c r="E1573">
        <f ca="1">IFERROR(__xludf.DUMMYFUNCTION("""COMPUTED_VALUE"""),383)</f>
        <v>383</v>
      </c>
      <c r="F1573">
        <v>384</v>
      </c>
      <c r="G1573">
        <v>0.99739583333333337</v>
      </c>
      <c r="H1573">
        <v>12135</v>
      </c>
      <c r="I1573">
        <v>19529</v>
      </c>
      <c r="J1573">
        <v>12135</v>
      </c>
      <c r="K1573">
        <v>0.98696053799289685</v>
      </c>
      <c r="L1573">
        <f t="shared" ca="1" si="160"/>
        <v>237.98509300000001</v>
      </c>
      <c r="M1573">
        <f t="shared" si="161"/>
        <v>238.60646400000002</v>
      </c>
      <c r="N1573">
        <v>12135</v>
      </c>
      <c r="O1573">
        <f t="shared" ca="1" si="158"/>
        <v>0.99739583333333326</v>
      </c>
    </row>
    <row r="1574" spans="1:15" x14ac:dyDescent="0.2">
      <c r="A1574" t="str">
        <f ca="1">IFERROR(__xludf.DUMMYFUNCTION("""COMPUTED_VALUE"""),"km")</f>
        <v>km</v>
      </c>
      <c r="B1574" t="str">
        <f ca="1">IFERROR(__xludf.DUMMYFUNCTION("""COMPUTED_VALUE"""),"Model S 75D")</f>
        <v>Model S 75D</v>
      </c>
      <c r="D1574">
        <f ca="1">IFERROR(__xludf.DUMMYFUNCTION("""COMPUTED_VALUE"""),8395)</f>
        <v>8395</v>
      </c>
      <c r="E1574">
        <f ca="1">IFERROR(__xludf.DUMMYFUNCTION("""COMPUTED_VALUE"""),383)</f>
        <v>383</v>
      </c>
      <c r="F1574">
        <v>384</v>
      </c>
      <c r="G1574">
        <v>0.99739583333333337</v>
      </c>
      <c r="H1574">
        <v>5216</v>
      </c>
      <c r="I1574">
        <v>8395</v>
      </c>
      <c r="J1574">
        <v>5216</v>
      </c>
      <c r="K1574">
        <v>0.99431015773054399</v>
      </c>
      <c r="L1574">
        <f t="shared" ca="1" si="160"/>
        <v>237.98509300000001</v>
      </c>
      <c r="M1574">
        <f t="shared" si="161"/>
        <v>238.60646400000002</v>
      </c>
      <c r="N1574">
        <v>5216</v>
      </c>
      <c r="O1574">
        <f t="shared" ca="1" si="158"/>
        <v>0.99739583333333326</v>
      </c>
    </row>
    <row r="1575" spans="1:15" x14ac:dyDescent="0.2">
      <c r="A1575" t="str">
        <f ca="1">IFERROR(__xludf.DUMMYFUNCTION("""COMPUTED_VALUE"""),"km")</f>
        <v>km</v>
      </c>
      <c r="B1575" t="str">
        <f ca="1">IFERROR(__xludf.DUMMYFUNCTION("""COMPUTED_VALUE"""),"Model S 75D")</f>
        <v>Model S 75D</v>
      </c>
      <c r="C1575">
        <f ca="1">IFERROR(__xludf.DUMMYFUNCTION("""COMPUTED_VALUE"""),382)</f>
        <v>382</v>
      </c>
      <c r="D1575">
        <f ca="1">IFERROR(__xludf.DUMMYFUNCTION("""COMPUTED_VALUE"""),6548)</f>
        <v>6548</v>
      </c>
      <c r="E1575">
        <f ca="1">IFERROR(__xludf.DUMMYFUNCTION("""COMPUTED_VALUE"""),383)</f>
        <v>383</v>
      </c>
      <c r="F1575">
        <v>384</v>
      </c>
      <c r="G1575">
        <v>0.99739583333333337</v>
      </c>
      <c r="H1575">
        <v>4069</v>
      </c>
      <c r="I1575">
        <v>6548</v>
      </c>
      <c r="J1575">
        <v>4069</v>
      </c>
      <c r="K1575">
        <v>0.99555110800896585</v>
      </c>
      <c r="L1575">
        <f t="shared" ca="1" si="160"/>
        <v>237.98509300000001</v>
      </c>
      <c r="M1575">
        <f t="shared" si="161"/>
        <v>238.60646400000002</v>
      </c>
      <c r="N1575">
        <v>4069</v>
      </c>
      <c r="O1575">
        <f t="shared" ca="1" si="158"/>
        <v>0.99739583333333326</v>
      </c>
    </row>
    <row r="1576" spans="1:15" x14ac:dyDescent="0.2">
      <c r="A1576" t="str">
        <f ca="1">IFERROR(__xludf.DUMMYFUNCTION("""COMPUTED_VALUE"""),"km")</f>
        <v>km</v>
      </c>
      <c r="B1576" t="str">
        <f ca="1">IFERROR(__xludf.DUMMYFUNCTION("""COMPUTED_VALUE"""),"Model S 85")</f>
        <v>Model S 85</v>
      </c>
      <c r="C1576">
        <f ca="1">IFERROR(__xludf.DUMMYFUNCTION("""COMPUTED_VALUE"""),394)</f>
        <v>394</v>
      </c>
      <c r="D1576">
        <f ca="1">IFERROR(__xludf.DUMMYFUNCTION("""COMPUTED_VALUE"""),11500)</f>
        <v>11500</v>
      </c>
      <c r="E1576">
        <f ca="1">IFERROR(__xludf.DUMMYFUNCTION("""COMPUTED_VALUE"""),394)</f>
        <v>394</v>
      </c>
      <c r="F1576">
        <v>395</v>
      </c>
      <c r="G1576">
        <v>0.99746835443037973</v>
      </c>
      <c r="H1576">
        <v>7146</v>
      </c>
      <c r="I1576">
        <v>11500</v>
      </c>
      <c r="J1576">
        <v>7146</v>
      </c>
      <c r="K1576">
        <v>0.99223788686150438</v>
      </c>
      <c r="L1576">
        <f t="shared" ca="1" si="160"/>
        <v>244.82017400000001</v>
      </c>
      <c r="M1576">
        <f t="shared" si="161"/>
        <v>245.44154499999999</v>
      </c>
      <c r="N1576">
        <v>7146</v>
      </c>
      <c r="O1576">
        <f t="shared" ca="1" si="158"/>
        <v>0.99746835443037984</v>
      </c>
    </row>
    <row r="1577" spans="1:15" x14ac:dyDescent="0.2">
      <c r="A1577" t="str">
        <f ca="1">IFERROR(__xludf.DUMMYFUNCTION("""COMPUTED_VALUE"""),"km")</f>
        <v>km</v>
      </c>
      <c r="B1577" t="str">
        <f ca="1">IFERROR(__xludf.DUMMYFUNCTION("""COMPUTED_VALUE"""),"Model S P85")</f>
        <v>Model S P85</v>
      </c>
      <c r="D1577">
        <f ca="1">IFERROR(__xludf.DUMMYFUNCTION("""COMPUTED_VALUE"""),18450)</f>
        <v>18450</v>
      </c>
      <c r="E1577">
        <f ca="1">IFERROR(__xludf.DUMMYFUNCTION("""COMPUTED_VALUE"""),394)</f>
        <v>394</v>
      </c>
      <c r="F1577">
        <v>395</v>
      </c>
      <c r="G1577">
        <v>0.99746835443037973</v>
      </c>
      <c r="H1577">
        <v>11464</v>
      </c>
      <c r="I1577">
        <v>18450</v>
      </c>
      <c r="J1577">
        <v>11464</v>
      </c>
      <c r="K1577">
        <v>0.98766291281581098</v>
      </c>
      <c r="L1577">
        <f t="shared" ca="1" si="160"/>
        <v>244.82017400000001</v>
      </c>
      <c r="M1577">
        <f t="shared" si="161"/>
        <v>245.44154499999999</v>
      </c>
      <c r="N1577">
        <v>11464</v>
      </c>
      <c r="O1577">
        <f t="shared" ca="1" si="158"/>
        <v>0.99746835443037984</v>
      </c>
    </row>
    <row r="1578" spans="1:15" x14ac:dyDescent="0.2">
      <c r="A1578" t="str">
        <f ca="1">IFERROR(__xludf.DUMMYFUNCTION("""COMPUTED_VALUE"""),"km")</f>
        <v>km</v>
      </c>
      <c r="B1578" t="str">
        <f ca="1">IFERROR(__xludf.DUMMYFUNCTION("""COMPUTED_VALUE"""),"Model S 85")</f>
        <v>Model S 85</v>
      </c>
      <c r="D1578">
        <f ca="1">IFERROR(__xludf.DUMMYFUNCTION("""COMPUTED_VALUE"""),4400)</f>
        <v>4400</v>
      </c>
      <c r="E1578">
        <f ca="1">IFERROR(__xludf.DUMMYFUNCTION("""COMPUTED_VALUE"""),394)</f>
        <v>394</v>
      </c>
      <c r="F1578">
        <v>395</v>
      </c>
      <c r="G1578">
        <v>0.99746835443037973</v>
      </c>
      <c r="H1578">
        <v>2734</v>
      </c>
      <c r="I1578">
        <v>4400</v>
      </c>
      <c r="J1578">
        <v>2734</v>
      </c>
      <c r="K1578">
        <v>0.99700202680964356</v>
      </c>
      <c r="L1578">
        <f t="shared" ca="1" si="160"/>
        <v>244.82017400000001</v>
      </c>
      <c r="M1578">
        <f t="shared" si="161"/>
        <v>245.44154499999999</v>
      </c>
      <c r="N1578">
        <v>2734</v>
      </c>
      <c r="O1578">
        <f t="shared" ca="1" si="158"/>
        <v>0.99746835443037984</v>
      </c>
    </row>
    <row r="1579" spans="1:15" x14ac:dyDescent="0.2">
      <c r="A1579" t="str">
        <f ca="1">IFERROR(__xludf.DUMMYFUNCTION("""COMPUTED_VALUE"""),"km")</f>
        <v>km</v>
      </c>
      <c r="B1579" t="str">
        <f ca="1">IFERROR(__xludf.DUMMYFUNCTION("""COMPUTED_VALUE"""),"Model S 85")</f>
        <v>Model S 85</v>
      </c>
      <c r="D1579">
        <f ca="1">IFERROR(__xludf.DUMMYFUNCTION("""COMPUTED_VALUE"""),980)</f>
        <v>980</v>
      </c>
      <c r="E1579">
        <f ca="1">IFERROR(__xludf.DUMMYFUNCTION("""COMPUTED_VALUE"""),394)</f>
        <v>394</v>
      </c>
      <c r="F1579">
        <v>395</v>
      </c>
      <c r="G1579">
        <v>0.99746835443037973</v>
      </c>
      <c r="H1579">
        <v>609</v>
      </c>
      <c r="I1579">
        <v>980</v>
      </c>
      <c r="J1579">
        <v>609</v>
      </c>
      <c r="K1579">
        <v>0.99932926460560623</v>
      </c>
      <c r="L1579">
        <f t="shared" ca="1" si="160"/>
        <v>244.82017400000001</v>
      </c>
      <c r="M1579">
        <f t="shared" si="161"/>
        <v>245.44154499999999</v>
      </c>
      <c r="N1579">
        <v>609</v>
      </c>
      <c r="O1579">
        <f t="shared" ca="1" si="158"/>
        <v>0.99746835443037984</v>
      </c>
    </row>
    <row r="1580" spans="1:15" x14ac:dyDescent="0.2">
      <c r="A1580" t="str">
        <f ca="1">IFERROR(__xludf.DUMMYFUNCTION("""COMPUTED_VALUE"""),"km")</f>
        <v>km</v>
      </c>
      <c r="B1580" t="str">
        <f ca="1">IFERROR(__xludf.DUMMYFUNCTION("""COMPUTED_VALUE"""),"Model S 85")</f>
        <v>Model S 85</v>
      </c>
      <c r="D1580">
        <f ca="1">IFERROR(__xludf.DUMMYFUNCTION("""COMPUTED_VALUE"""),3600)</f>
        <v>3600</v>
      </c>
      <c r="E1580">
        <f ca="1">IFERROR(__xludf.DUMMYFUNCTION("""COMPUTED_VALUE"""),394)</f>
        <v>394</v>
      </c>
      <c r="F1580">
        <v>395</v>
      </c>
      <c r="G1580">
        <v>0.99746835443037973</v>
      </c>
      <c r="H1580">
        <v>2237</v>
      </c>
      <c r="I1580">
        <v>3600</v>
      </c>
      <c r="J1580">
        <v>2237</v>
      </c>
      <c r="K1580">
        <v>0.99754452811123362</v>
      </c>
      <c r="L1580">
        <f t="shared" ca="1" si="160"/>
        <v>244.82017400000001</v>
      </c>
      <c r="M1580">
        <f t="shared" si="161"/>
        <v>245.44154499999999</v>
      </c>
      <c r="N1580">
        <v>2237</v>
      </c>
      <c r="O1580">
        <f t="shared" ca="1" si="158"/>
        <v>0.99746835443037984</v>
      </c>
    </row>
    <row r="1581" spans="1:15" x14ac:dyDescent="0.2">
      <c r="A1581" t="str">
        <f ca="1">IFERROR(__xludf.DUMMYFUNCTION("""COMPUTED_VALUE"""),"km")</f>
        <v>km</v>
      </c>
      <c r="B1581" t="str">
        <f ca="1">IFERROR(__xludf.DUMMYFUNCTION("""COMPUTED_VALUE"""),"Model S 85")</f>
        <v>Model S 85</v>
      </c>
      <c r="D1581">
        <f ca="1">IFERROR(__xludf.DUMMYFUNCTION("""COMPUTED_VALUE"""),950)</f>
        <v>950</v>
      </c>
      <c r="E1581">
        <f ca="1">IFERROR(__xludf.DUMMYFUNCTION("""COMPUTED_VALUE"""),394)</f>
        <v>394</v>
      </c>
      <c r="F1581">
        <v>395</v>
      </c>
      <c r="G1581">
        <v>0.99746835443037973</v>
      </c>
      <c r="H1581">
        <v>590</v>
      </c>
      <c r="I1581">
        <v>950</v>
      </c>
      <c r="J1581">
        <v>590</v>
      </c>
      <c r="K1581">
        <v>0.99934977180237761</v>
      </c>
      <c r="L1581">
        <f t="shared" ca="1" si="160"/>
        <v>244.82017400000001</v>
      </c>
      <c r="M1581">
        <f t="shared" si="161"/>
        <v>245.44154499999999</v>
      </c>
      <c r="N1581">
        <v>590</v>
      </c>
      <c r="O1581">
        <f t="shared" ca="1" si="158"/>
        <v>0.99746835443037984</v>
      </c>
    </row>
    <row r="1582" spans="1:15" x14ac:dyDescent="0.2">
      <c r="A1582" t="str">
        <f ca="1">IFERROR(__xludf.DUMMYFUNCTION("""COMPUTED_VALUE"""),"km")</f>
        <v>km</v>
      </c>
      <c r="B1582" t="str">
        <f ca="1">IFERROR(__xludf.DUMMYFUNCTION("""COMPUTED_VALUE"""),"Model S 85")</f>
        <v>Model S 85</v>
      </c>
      <c r="D1582">
        <f ca="1">IFERROR(__xludf.DUMMYFUNCTION("""COMPUTED_VALUE"""),4517)</f>
        <v>4517</v>
      </c>
      <c r="E1582">
        <f ca="1">IFERROR(__xludf.DUMMYFUNCTION("""COMPUTED_VALUE"""),394)</f>
        <v>394</v>
      </c>
      <c r="F1582">
        <v>395</v>
      </c>
      <c r="G1582">
        <v>0.99746835443037973</v>
      </c>
      <c r="H1582">
        <v>2807</v>
      </c>
      <c r="I1582">
        <v>4517</v>
      </c>
      <c r="J1582">
        <v>2807</v>
      </c>
      <c r="K1582">
        <v>0.99692278244835464</v>
      </c>
      <c r="L1582">
        <f t="shared" ca="1" si="160"/>
        <v>244.82017400000001</v>
      </c>
      <c r="M1582">
        <f t="shared" si="161"/>
        <v>245.44154499999999</v>
      </c>
      <c r="N1582">
        <v>2807</v>
      </c>
      <c r="O1582">
        <f t="shared" ca="1" si="158"/>
        <v>0.99746835443037984</v>
      </c>
    </row>
    <row r="1583" spans="1:15" x14ac:dyDescent="0.2">
      <c r="A1583" t="str">
        <f ca="1">IFERROR(__xludf.DUMMYFUNCTION("""COMPUTED_VALUE"""),"km")</f>
        <v>km</v>
      </c>
      <c r="B1583" t="str">
        <f ca="1">IFERROR(__xludf.DUMMYFUNCTION("""COMPUTED_VALUE"""),"Unspecified 85 kWh")</f>
        <v>Unspecified 85 kWh</v>
      </c>
      <c r="D1583">
        <f ca="1">IFERROR(__xludf.DUMMYFUNCTION("""COMPUTED_VALUE"""),21845)</f>
        <v>21845</v>
      </c>
      <c r="E1583">
        <f ca="1">IFERROR(__xludf.DUMMYFUNCTION("""COMPUTED_VALUE"""),394)</f>
        <v>394</v>
      </c>
      <c r="F1583">
        <v>395</v>
      </c>
      <c r="G1583">
        <v>0.99746835443037973</v>
      </c>
      <c r="H1583">
        <v>13574</v>
      </c>
      <c r="I1583">
        <v>21845</v>
      </c>
      <c r="J1583">
        <v>13574</v>
      </c>
      <c r="K1583">
        <v>0.98546013474188388</v>
      </c>
      <c r="L1583">
        <f t="shared" ca="1" si="160"/>
        <v>244.82017400000001</v>
      </c>
      <c r="M1583">
        <f t="shared" si="161"/>
        <v>245.44154499999999</v>
      </c>
      <c r="N1583">
        <v>13574</v>
      </c>
      <c r="O1583">
        <f t="shared" ca="1" si="158"/>
        <v>0.99746835443037984</v>
      </c>
    </row>
    <row r="1584" spans="1:15" x14ac:dyDescent="0.2">
      <c r="A1584" t="str">
        <f ca="1">IFERROR(__xludf.DUMMYFUNCTION("""COMPUTED_VALUE"""),"km")</f>
        <v>km</v>
      </c>
      <c r="B1584" t="str">
        <f ca="1">IFERROR(__xludf.DUMMYFUNCTION("""COMPUTED_VALUE"""),"Model S P85+")</f>
        <v>Model S P85+</v>
      </c>
      <c r="D1584">
        <f ca="1">IFERROR(__xludf.DUMMYFUNCTION("""COMPUTED_VALUE"""),28600)</f>
        <v>28600</v>
      </c>
      <c r="E1584">
        <f ca="1">IFERROR(__xludf.DUMMYFUNCTION("""COMPUTED_VALUE"""),394)</f>
        <v>394</v>
      </c>
      <c r="F1584">
        <v>395</v>
      </c>
      <c r="G1584">
        <v>0.99746835443037973</v>
      </c>
      <c r="H1584">
        <v>17771</v>
      </c>
      <c r="I1584">
        <v>28600</v>
      </c>
      <c r="J1584">
        <v>17771</v>
      </c>
      <c r="K1584">
        <v>0.98114025624831713</v>
      </c>
      <c r="L1584">
        <f t="shared" ca="1" si="160"/>
        <v>244.82017400000001</v>
      </c>
      <c r="M1584">
        <f t="shared" si="161"/>
        <v>245.44154499999999</v>
      </c>
      <c r="N1584">
        <v>17771</v>
      </c>
      <c r="O1584">
        <f t="shared" ca="1" si="158"/>
        <v>0.99746835443037984</v>
      </c>
    </row>
    <row r="1585" spans="1:15" x14ac:dyDescent="0.2">
      <c r="A1585" t="str">
        <f ca="1">IFERROR(__xludf.DUMMYFUNCTION("""COMPUTED_VALUE"""),"km")</f>
        <v>km</v>
      </c>
      <c r="B1585" t="str">
        <f ca="1">IFERROR(__xludf.DUMMYFUNCTION("""COMPUTED_VALUE"""),"Model S P85")</f>
        <v>Model S P85</v>
      </c>
      <c r="D1585">
        <f ca="1">IFERROR(__xludf.DUMMYFUNCTION("""COMPUTED_VALUE"""),3434)</f>
        <v>3434</v>
      </c>
      <c r="E1585">
        <f ca="1">IFERROR(__xludf.DUMMYFUNCTION("""COMPUTED_VALUE"""),394)</f>
        <v>394</v>
      </c>
      <c r="F1585">
        <v>395</v>
      </c>
      <c r="G1585">
        <v>0.99746835443037973</v>
      </c>
      <c r="H1585">
        <v>2134</v>
      </c>
      <c r="I1585">
        <v>3434</v>
      </c>
      <c r="J1585">
        <v>2134</v>
      </c>
      <c r="K1585">
        <v>0.99765724123416455</v>
      </c>
      <c r="L1585">
        <f t="shared" ca="1" si="160"/>
        <v>244.82017400000001</v>
      </c>
      <c r="M1585">
        <f t="shared" si="161"/>
        <v>245.44154499999999</v>
      </c>
      <c r="N1585">
        <v>2134</v>
      </c>
      <c r="O1585">
        <f t="shared" ca="1" si="158"/>
        <v>0.99746835443037984</v>
      </c>
    </row>
    <row r="1586" spans="1:15" x14ac:dyDescent="0.2">
      <c r="A1586" t="str">
        <f ca="1">IFERROR(__xludf.DUMMYFUNCTION("""COMPUTED_VALUE"""),"km")</f>
        <v>km</v>
      </c>
      <c r="B1586" t="str">
        <f ca="1">IFERROR(__xludf.DUMMYFUNCTION("""COMPUTED_VALUE"""),"Model S P85D")</f>
        <v>Model S P85D</v>
      </c>
      <c r="C1586">
        <f ca="1">IFERROR(__xludf.DUMMYFUNCTION("""COMPUTED_VALUE"""),404)</f>
        <v>404</v>
      </c>
      <c r="D1586">
        <f ca="1">IFERROR(__xludf.DUMMYFUNCTION("""COMPUTED_VALUE"""),16300)</f>
        <v>16300</v>
      </c>
      <c r="E1586">
        <f ca="1">IFERROR(__xludf.DUMMYFUNCTION("""COMPUTED_VALUE"""),402)</f>
        <v>402</v>
      </c>
      <c r="F1586">
        <v>403</v>
      </c>
      <c r="G1586">
        <v>0.9975186104218362</v>
      </c>
      <c r="H1586">
        <v>10128</v>
      </c>
      <c r="I1586">
        <v>16300</v>
      </c>
      <c r="J1586">
        <v>10128</v>
      </c>
      <c r="K1586">
        <v>0.98906879554298344</v>
      </c>
      <c r="L1586">
        <f t="shared" ca="1" si="160"/>
        <v>249.79114200000001</v>
      </c>
      <c r="M1586">
        <f t="shared" si="161"/>
        <v>250.41251299999999</v>
      </c>
      <c r="N1586">
        <v>10128</v>
      </c>
      <c r="O1586">
        <f t="shared" ca="1" si="158"/>
        <v>0.99751861042183632</v>
      </c>
    </row>
    <row r="1587" spans="1:15" x14ac:dyDescent="0.2">
      <c r="A1587" t="str">
        <f ca="1">IFERROR(__xludf.DUMMYFUNCTION("""COMPUTED_VALUE"""),"km")</f>
        <v>km</v>
      </c>
      <c r="B1587" t="str">
        <f ca="1">IFERROR(__xludf.DUMMYFUNCTION("""COMPUTED_VALUE"""),"Model S 85D")</f>
        <v>Model S 85D</v>
      </c>
      <c r="D1587">
        <f ca="1">IFERROR(__xludf.DUMMYFUNCTION("""COMPUTED_VALUE"""),44000)</f>
        <v>44000</v>
      </c>
      <c r="E1587">
        <f ca="1">IFERROR(__xludf.DUMMYFUNCTION("""COMPUTED_VALUE"""),424)</f>
        <v>424</v>
      </c>
      <c r="F1587">
        <v>425</v>
      </c>
      <c r="G1587">
        <v>0.99764705882352944</v>
      </c>
      <c r="H1587">
        <v>27340</v>
      </c>
      <c r="I1587">
        <v>44000</v>
      </c>
      <c r="J1587">
        <v>27340</v>
      </c>
      <c r="K1587">
        <v>0.97160822329568364</v>
      </c>
      <c r="L1587">
        <f t="shared" ca="1" si="160"/>
        <v>263.46130399999998</v>
      </c>
      <c r="M1587">
        <f t="shared" si="161"/>
        <v>264.08267499999999</v>
      </c>
      <c r="N1587">
        <v>27340</v>
      </c>
      <c r="O1587">
        <f t="shared" ca="1" si="158"/>
        <v>0.99764705882352933</v>
      </c>
    </row>
    <row r="1588" spans="1:15" x14ac:dyDescent="0.2">
      <c r="A1588" t="str">
        <f ca="1">IFERROR(__xludf.DUMMYFUNCTION("""COMPUTED_VALUE"""),"km")</f>
        <v>km</v>
      </c>
      <c r="B1588" t="str">
        <f ca="1">IFERROR(__xludf.DUMMYFUNCTION("""COMPUTED_VALUE"""),"Model S 90D")</f>
        <v>Model S 90D</v>
      </c>
      <c r="C1588">
        <f ca="1">IFERROR(__xludf.DUMMYFUNCTION("""COMPUTED_VALUE"""),456)</f>
        <v>456</v>
      </c>
      <c r="D1588">
        <f ca="1">IFERROR(__xludf.DUMMYFUNCTION("""COMPUTED_VALUE"""),14500)</f>
        <v>14500</v>
      </c>
      <c r="E1588">
        <f ca="1">IFERROR(__xludf.DUMMYFUNCTION("""COMPUTED_VALUE"""),446)</f>
        <v>446</v>
      </c>
      <c r="F1588">
        <v>447</v>
      </c>
      <c r="G1588">
        <v>0.99776286353467558</v>
      </c>
      <c r="H1588">
        <v>9010</v>
      </c>
      <c r="I1588">
        <v>14500</v>
      </c>
      <c r="J1588">
        <v>9010</v>
      </c>
      <c r="K1588">
        <v>0.99025229509377832</v>
      </c>
      <c r="L1588">
        <f t="shared" ca="1" si="160"/>
        <v>277.13146599999999</v>
      </c>
      <c r="M1588">
        <f t="shared" si="161"/>
        <v>277.752837</v>
      </c>
      <c r="N1588">
        <v>9010</v>
      </c>
      <c r="O1588">
        <f t="shared" ca="1" si="158"/>
        <v>0.99776286353467558</v>
      </c>
    </row>
    <row r="1589" spans="1:15" x14ac:dyDescent="0.2">
      <c r="A1589" t="str">
        <f ca="1">IFERROR(__xludf.DUMMYFUNCTION("""COMPUTED_VALUE"""),"km")</f>
        <v>km</v>
      </c>
      <c r="B1589" t="str">
        <f ca="1">IFERROR(__xludf.DUMMYFUNCTION("""COMPUTED_VALUE"""),"Model S 90D")</f>
        <v>Model S 90D</v>
      </c>
      <c r="C1589">
        <f ca="1">IFERROR(__xludf.DUMMYFUNCTION("""COMPUTED_VALUE"""),448)</f>
        <v>448</v>
      </c>
      <c r="D1589">
        <f ca="1">IFERROR(__xludf.DUMMYFUNCTION("""COMPUTED_VALUE"""),1167)</f>
        <v>1167</v>
      </c>
      <c r="E1589">
        <f ca="1">IFERROR(__xludf.DUMMYFUNCTION("""COMPUTED_VALUE"""),446)</f>
        <v>446</v>
      </c>
      <c r="F1589">
        <v>447</v>
      </c>
      <c r="G1589">
        <v>0.99776286353467558</v>
      </c>
      <c r="H1589">
        <v>725</v>
      </c>
      <c r="I1589">
        <v>1167</v>
      </c>
      <c r="J1589">
        <v>725</v>
      </c>
      <c r="K1589">
        <v>0.99920147276357307</v>
      </c>
      <c r="L1589">
        <f t="shared" ca="1" si="160"/>
        <v>277.13146599999999</v>
      </c>
      <c r="M1589">
        <f t="shared" si="161"/>
        <v>277.752837</v>
      </c>
      <c r="N1589">
        <v>725</v>
      </c>
      <c r="O1589">
        <f t="shared" ca="1" si="158"/>
        <v>0.99776286353467558</v>
      </c>
    </row>
    <row r="1590" spans="1:15" x14ac:dyDescent="0.2">
      <c r="A1590" t="str">
        <f ca="1">IFERROR(__xludf.DUMMYFUNCTION("""COMPUTED_VALUE"""),"km")</f>
        <v>km</v>
      </c>
      <c r="B1590" t="str">
        <f ca="1">IFERROR(__xludf.DUMMYFUNCTION("""COMPUTED_VALUE"""),"Model S 90D")</f>
        <v>Model S 90D</v>
      </c>
      <c r="C1590">
        <f ca="1">IFERROR(__xludf.DUMMYFUNCTION("""COMPUTED_VALUE"""),455)</f>
        <v>455</v>
      </c>
      <c r="D1590">
        <f ca="1">IFERROR(__xludf.DUMMYFUNCTION("""COMPUTED_VALUE"""),5444)</f>
        <v>5444</v>
      </c>
      <c r="E1590">
        <f ca="1">IFERROR(__xludf.DUMMYFUNCTION("""COMPUTED_VALUE"""),446)</f>
        <v>446</v>
      </c>
      <c r="F1590">
        <v>447</v>
      </c>
      <c r="G1590">
        <v>0.99776286353467558</v>
      </c>
      <c r="H1590">
        <v>3383</v>
      </c>
      <c r="I1590">
        <v>5444</v>
      </c>
      <c r="J1590">
        <v>3383</v>
      </c>
      <c r="K1590">
        <v>0.99629579393828693</v>
      </c>
      <c r="L1590">
        <f t="shared" ca="1" si="160"/>
        <v>277.13146599999999</v>
      </c>
      <c r="M1590">
        <f t="shared" si="161"/>
        <v>277.752837</v>
      </c>
      <c r="N1590">
        <v>3383</v>
      </c>
      <c r="O1590">
        <f t="shared" ca="1" si="158"/>
        <v>0.99776286353467558</v>
      </c>
    </row>
    <row r="1591" spans="1:15" x14ac:dyDescent="0.2">
      <c r="A1591" t="str">
        <f ca="1">IFERROR(__xludf.DUMMYFUNCTION("""COMPUTED_VALUE"""),"km")</f>
        <v>km</v>
      </c>
      <c r="B1591" t="str">
        <f ca="1">IFERROR(__xludf.DUMMYFUNCTION("""COMPUTED_VALUE"""),"Model S 90D")</f>
        <v>Model S 90D</v>
      </c>
      <c r="C1591">
        <f ca="1">IFERROR(__xludf.DUMMYFUNCTION("""COMPUTED_VALUE"""),448)</f>
        <v>448</v>
      </c>
      <c r="D1591">
        <f ca="1">IFERROR(__xludf.DUMMYFUNCTION("""COMPUTED_VALUE"""),10715)</f>
        <v>10715</v>
      </c>
      <c r="E1591">
        <f ca="1">IFERROR(__xludf.DUMMYFUNCTION("""COMPUTED_VALUE"""),446)</f>
        <v>446</v>
      </c>
      <c r="F1591">
        <v>447</v>
      </c>
      <c r="G1591">
        <v>0.99776286353467558</v>
      </c>
      <c r="H1591">
        <v>6658</v>
      </c>
      <c r="I1591">
        <v>10715</v>
      </c>
      <c r="J1591">
        <v>6658</v>
      </c>
      <c r="K1591">
        <v>0.99276014578169147</v>
      </c>
      <c r="L1591">
        <f t="shared" ca="1" si="160"/>
        <v>277.13146599999999</v>
      </c>
      <c r="M1591">
        <f t="shared" si="161"/>
        <v>277.752837</v>
      </c>
      <c r="N1591">
        <v>6658</v>
      </c>
      <c r="O1591">
        <f t="shared" ca="1" si="158"/>
        <v>0.99776286353467558</v>
      </c>
    </row>
    <row r="1592" spans="1:15" x14ac:dyDescent="0.2">
      <c r="A1592" t="str">
        <f ca="1">IFERROR(__xludf.DUMMYFUNCTION("""COMPUTED_VALUE"""),"km")</f>
        <v>km</v>
      </c>
      <c r="B1592" t="str">
        <f ca="1">IFERROR(__xludf.DUMMYFUNCTION("""COMPUTED_VALUE"""),"Model S 90D")</f>
        <v>Model S 90D</v>
      </c>
      <c r="C1592">
        <f ca="1">IFERROR(__xludf.DUMMYFUNCTION("""COMPUTED_VALUE"""),473)</f>
        <v>473</v>
      </c>
      <c r="D1592">
        <f ca="1">IFERROR(__xludf.DUMMYFUNCTION("""COMPUTED_VALUE"""),5704)</f>
        <v>5704</v>
      </c>
      <c r="E1592">
        <f ca="1">IFERROR(__xludf.DUMMYFUNCTION("""COMPUTED_VALUE"""),469)</f>
        <v>469</v>
      </c>
      <c r="F1592">
        <v>470</v>
      </c>
      <c r="G1592">
        <v>0.99787234042553197</v>
      </c>
      <c r="H1592">
        <v>3544</v>
      </c>
      <c r="I1592">
        <v>5704</v>
      </c>
      <c r="J1592">
        <v>3544</v>
      </c>
      <c r="K1592">
        <v>0.99612021733948419</v>
      </c>
      <c r="L1592">
        <f t="shared" ca="1" si="160"/>
        <v>291.422999</v>
      </c>
      <c r="M1592">
        <f t="shared" si="161"/>
        <v>292.04437000000001</v>
      </c>
      <c r="N1592">
        <v>3544</v>
      </c>
      <c r="O1592">
        <f t="shared" ca="1" si="158"/>
        <v>0.99787234042553186</v>
      </c>
    </row>
    <row r="1593" spans="1:15" x14ac:dyDescent="0.2">
      <c r="A1593" t="str">
        <f ca="1">IFERROR(__xludf.DUMMYFUNCTION("""COMPUTED_VALUE"""),"km")</f>
        <v>km</v>
      </c>
      <c r="B1593" t="str">
        <f ca="1">IFERROR(__xludf.DUMMYFUNCTION("""COMPUTED_VALUE"""),"Model S P100D")</f>
        <v>Model S P100D</v>
      </c>
      <c r="D1593">
        <f ca="1">IFERROR(__xludf.DUMMYFUNCTION("""COMPUTED_VALUE"""),4781)</f>
        <v>4781</v>
      </c>
      <c r="E1593">
        <f ca="1">IFERROR(__xludf.DUMMYFUNCTION("""COMPUTED_VALUE"""),482)</f>
        <v>482</v>
      </c>
      <c r="F1593">
        <v>483</v>
      </c>
      <c r="G1593">
        <v>0.99792960662525876</v>
      </c>
      <c r="H1593">
        <v>2971</v>
      </c>
      <c r="I1593">
        <v>4781</v>
      </c>
      <c r="J1593">
        <v>2971</v>
      </c>
      <c r="K1593">
        <v>0.99674406512539759</v>
      </c>
      <c r="L1593">
        <f t="shared" ca="1" si="160"/>
        <v>299.50082200000003</v>
      </c>
      <c r="M1593">
        <f t="shared" si="161"/>
        <v>300.12219299999998</v>
      </c>
      <c r="N1593">
        <v>2971</v>
      </c>
      <c r="O1593">
        <f t="shared" ca="1" si="158"/>
        <v>0.99792960662525898</v>
      </c>
    </row>
    <row r="1594" spans="1:15" x14ac:dyDescent="0.2">
      <c r="A1594" t="str">
        <f ca="1">IFERROR(__xludf.DUMMYFUNCTION("""COMPUTED_VALUE"""),"km")</f>
        <v>km</v>
      </c>
      <c r="B1594" t="str">
        <f ca="1">IFERROR(__xludf.DUMMYFUNCTION("""COMPUTED_VALUE"""),"Model S 100D")</f>
        <v>Model S 100D</v>
      </c>
      <c r="C1594">
        <f ca="1">IFERROR(__xludf.DUMMYFUNCTION("""COMPUTED_VALUE"""),509)</f>
        <v>509</v>
      </c>
      <c r="D1594">
        <f ca="1">IFERROR(__xludf.DUMMYFUNCTION("""COMPUTED_VALUE"""),150)</f>
        <v>150</v>
      </c>
      <c r="E1594">
        <f ca="1">IFERROR(__xludf.DUMMYFUNCTION("""COMPUTED_VALUE"""),509)</f>
        <v>509</v>
      </c>
      <c r="F1594">
        <v>510</v>
      </c>
      <c r="G1594">
        <v>0.99803921568627452</v>
      </c>
      <c r="H1594">
        <v>93</v>
      </c>
      <c r="I1594">
        <v>150</v>
      </c>
      <c r="J1594">
        <v>93</v>
      </c>
      <c r="K1594">
        <v>0.99989722497355926</v>
      </c>
      <c r="L1594">
        <f t="shared" ca="1" si="160"/>
        <v>316.27783900000003</v>
      </c>
      <c r="M1594">
        <f t="shared" si="161"/>
        <v>316.89920999999998</v>
      </c>
      <c r="N1594">
        <v>93</v>
      </c>
      <c r="O1594">
        <f t="shared" ca="1" si="158"/>
        <v>0.99803921568627463</v>
      </c>
    </row>
    <row r="1595" spans="1:15" x14ac:dyDescent="0.2">
      <c r="A1595" t="str">
        <f ca="1">IFERROR(__xludf.DUMMYFUNCTION("""COMPUTED_VALUE"""),"mi")</f>
        <v>mi</v>
      </c>
      <c r="B1595" t="str">
        <f ca="1">IFERROR(__xludf.DUMMYFUNCTION("""COMPUTED_VALUE"""),"Model S 75D")</f>
        <v>Model S 75D</v>
      </c>
      <c r="D1595">
        <f ca="1">IFERROR(__xludf.DUMMYFUNCTION("""COMPUTED_VALUE"""),3000)</f>
        <v>3000</v>
      </c>
      <c r="E1595">
        <f ca="1">IFERROR(__xludf.DUMMYFUNCTION("""COMPUTED_VALUE"""),238.7)</f>
        <v>238.7</v>
      </c>
      <c r="F1595">
        <v>239</v>
      </c>
      <c r="G1595">
        <v>0.99874476987447691</v>
      </c>
      <c r="H1595">
        <v>3000</v>
      </c>
      <c r="I1595">
        <v>4828</v>
      </c>
      <c r="J1595">
        <v>3000</v>
      </c>
      <c r="K1595">
        <v>0.99671226117509304</v>
      </c>
      <c r="L1595">
        <f ca="1">IFERROR(__xludf.DUMMYFUNCTION("""COMPUTED_VALUE"""),238.7)</f>
        <v>238.7</v>
      </c>
      <c r="M1595">
        <v>239</v>
      </c>
      <c r="N1595">
        <v>3000</v>
      </c>
      <c r="O1595">
        <f t="shared" ca="1" si="158"/>
        <v>0.99874476987447691</v>
      </c>
    </row>
    <row r="1596" spans="1:15" x14ac:dyDescent="0.2">
      <c r="A1596" t="str">
        <f ca="1">IFERROR(__xludf.DUMMYFUNCTION("""COMPUTED_VALUE"""),"mi")</f>
        <v>mi</v>
      </c>
      <c r="B1596" t="str">
        <f ca="1">IFERROR(__xludf.DUMMYFUNCTION("""COMPUTED_VALUE"""),"Model S 90D")</f>
        <v>Model S 90D</v>
      </c>
      <c r="C1596">
        <f ca="1">IFERROR(__xludf.DUMMYFUNCTION("""COMPUTED_VALUE"""),293)</f>
        <v>293</v>
      </c>
      <c r="D1596">
        <f ca="1">IFERROR(__xludf.DUMMYFUNCTION("""COMPUTED_VALUE"""),6861)</f>
        <v>6861</v>
      </c>
      <c r="E1596">
        <f ca="1">IFERROR(__xludf.DUMMYFUNCTION("""COMPUTED_VALUE"""),291.71)</f>
        <v>291.70999999999998</v>
      </c>
      <c r="F1596">
        <v>292</v>
      </c>
      <c r="G1596">
        <v>0.99900684931506845</v>
      </c>
      <c r="H1596">
        <v>6861</v>
      </c>
      <c r="I1596">
        <v>11042</v>
      </c>
      <c r="J1596">
        <v>6861</v>
      </c>
      <c r="K1596">
        <v>0.9925424576374422</v>
      </c>
      <c r="L1596">
        <f ca="1">IFERROR(__xludf.DUMMYFUNCTION("""COMPUTED_VALUE"""),291.71)</f>
        <v>291.70999999999998</v>
      </c>
      <c r="M1596">
        <v>292</v>
      </c>
      <c r="N1596">
        <v>6861</v>
      </c>
      <c r="O1596">
        <f t="shared" ca="1" si="158"/>
        <v>0.99900684931506845</v>
      </c>
    </row>
    <row r="1597" spans="1:15" x14ac:dyDescent="0.2">
      <c r="A1597" t="str">
        <f ca="1">IFERROR(__xludf.DUMMYFUNCTION("""COMPUTED_VALUE"""),"km")</f>
        <v>km</v>
      </c>
      <c r="B1597" t="str">
        <f ca="1">IFERROR(__xludf.DUMMYFUNCTION("""COMPUTED_VALUE"""),"Model S P100D")</f>
        <v>Model S P100D</v>
      </c>
      <c r="D1597">
        <f ca="1">IFERROR(__xludf.DUMMYFUNCTION("""COMPUTED_VALUE"""),100)</f>
        <v>100</v>
      </c>
      <c r="E1597">
        <v>483</v>
      </c>
      <c r="F1597">
        <v>483</v>
      </c>
      <c r="G1597">
        <v>0.20703933747412009</v>
      </c>
      <c r="H1597">
        <v>62</v>
      </c>
      <c r="I1597">
        <v>100</v>
      </c>
      <c r="J1597">
        <v>62</v>
      </c>
      <c r="K1597">
        <v>0.99993147884146683</v>
      </c>
      <c r="L1597">
        <f t="shared" ref="L1597:L1628" si="162">E1597*0.621371</f>
        <v>300.12219299999998</v>
      </c>
      <c r="M1597">
        <f t="shared" ref="M1597:M1628" si="163">F1597*0.621371</f>
        <v>300.12219299999998</v>
      </c>
      <c r="N1597">
        <v>62</v>
      </c>
      <c r="O1597">
        <f t="shared" si="158"/>
        <v>1</v>
      </c>
    </row>
    <row r="1598" spans="1:15" x14ac:dyDescent="0.2">
      <c r="A1598" t="str">
        <f ca="1">IFERROR(__xludf.DUMMYFUNCTION("""COMPUTED_VALUE"""),"km")</f>
        <v>km</v>
      </c>
      <c r="B1598" t="str">
        <f ca="1">IFERROR(__xludf.DUMMYFUNCTION("""COMPUTED_VALUE"""),"Model S P100D")</f>
        <v>Model S P100D</v>
      </c>
      <c r="D1598">
        <f ca="1">IFERROR(__xludf.DUMMYFUNCTION("""COMPUTED_VALUE"""),100)</f>
        <v>100</v>
      </c>
      <c r="E1598">
        <v>483</v>
      </c>
      <c r="F1598">
        <v>483</v>
      </c>
      <c r="G1598">
        <v>0.20703933747412009</v>
      </c>
      <c r="H1598">
        <v>62</v>
      </c>
      <c r="I1598">
        <v>100</v>
      </c>
      <c r="J1598">
        <v>62</v>
      </c>
      <c r="K1598">
        <v>0.99993147884146683</v>
      </c>
      <c r="L1598">
        <f t="shared" si="162"/>
        <v>300.12219299999998</v>
      </c>
      <c r="M1598">
        <f t="shared" si="163"/>
        <v>300.12219299999998</v>
      </c>
      <c r="N1598">
        <v>62</v>
      </c>
      <c r="O1598">
        <f t="shared" si="158"/>
        <v>1</v>
      </c>
    </row>
    <row r="1599" spans="1:15" x14ac:dyDescent="0.2">
      <c r="A1599" t="str">
        <f ca="1">IFERROR(__xludf.DUMMYFUNCTION("""COMPUTED_VALUE"""),"km")</f>
        <v>km</v>
      </c>
      <c r="B1599" t="str">
        <f ca="1">IFERROR(__xludf.DUMMYFUNCTION("""COMPUTED_VALUE"""),"Model S P100D")</f>
        <v>Model S P100D</v>
      </c>
      <c r="D1599">
        <f ca="1">IFERROR(__xludf.DUMMYFUNCTION("""COMPUTED_VALUE"""),100)</f>
        <v>100</v>
      </c>
      <c r="E1599">
        <v>483</v>
      </c>
      <c r="F1599">
        <v>483</v>
      </c>
      <c r="G1599">
        <v>0.20703933747412009</v>
      </c>
      <c r="H1599">
        <v>62</v>
      </c>
      <c r="I1599">
        <v>100</v>
      </c>
      <c r="J1599">
        <v>62</v>
      </c>
      <c r="K1599">
        <v>0.99993147884146683</v>
      </c>
      <c r="L1599">
        <f t="shared" si="162"/>
        <v>300.12219299999998</v>
      </c>
      <c r="M1599">
        <f t="shared" si="163"/>
        <v>300.12219299999998</v>
      </c>
      <c r="N1599">
        <v>62</v>
      </c>
      <c r="O1599">
        <f t="shared" si="158"/>
        <v>1</v>
      </c>
    </row>
    <row r="1600" spans="1:15" x14ac:dyDescent="0.2">
      <c r="A1600" t="str">
        <f ca="1">IFERROR(__xludf.DUMMYFUNCTION("""COMPUTED_VALUE"""),"km")</f>
        <v>km</v>
      </c>
      <c r="B1600" t="str">
        <f ca="1">IFERROR(__xludf.DUMMYFUNCTION("""COMPUTED_VALUE"""),"Model 3 SR+")</f>
        <v>Model 3 SR+</v>
      </c>
      <c r="C1600">
        <f ca="1">IFERROR(__xludf.DUMMYFUNCTION("""COMPUTED_VALUE"""),381)</f>
        <v>381</v>
      </c>
      <c r="D1600">
        <f ca="1">IFERROR(__xludf.DUMMYFUNCTION("""COMPUTED_VALUE"""),1033)</f>
        <v>1033</v>
      </c>
      <c r="E1600">
        <f ca="1">IFERROR(__xludf.DUMMYFUNCTION("""COMPUTED_VALUE"""),381)</f>
        <v>381</v>
      </c>
      <c r="F1600">
        <v>381</v>
      </c>
      <c r="G1600">
        <v>1</v>
      </c>
      <c r="H1600">
        <v>642</v>
      </c>
      <c r="I1600">
        <v>1033</v>
      </c>
      <c r="J1600">
        <v>642</v>
      </c>
      <c r="K1600">
        <v>0.99929303916512291</v>
      </c>
      <c r="L1600">
        <f t="shared" ca="1" si="162"/>
        <v>236.74235100000001</v>
      </c>
      <c r="M1600">
        <f t="shared" si="163"/>
        <v>236.74235100000001</v>
      </c>
      <c r="N1600">
        <v>642</v>
      </c>
      <c r="O1600">
        <f t="shared" ca="1" si="158"/>
        <v>1</v>
      </c>
    </row>
    <row r="1601" spans="1:15" x14ac:dyDescent="0.2">
      <c r="A1601" t="str">
        <f ca="1">IFERROR(__xludf.DUMMYFUNCTION("""COMPUTED_VALUE"""),"km")</f>
        <v>km</v>
      </c>
      <c r="B1601" t="str">
        <f ca="1">IFERROR(__xludf.DUMMYFUNCTION("""COMPUTED_VALUE"""),"Model 3 LR AWD")</f>
        <v>Model 3 LR AWD</v>
      </c>
      <c r="C1601">
        <f ca="1">IFERROR(__xludf.DUMMYFUNCTION("""COMPUTED_VALUE"""),499)</f>
        <v>499</v>
      </c>
      <c r="D1601">
        <f ca="1">IFERROR(__xludf.DUMMYFUNCTION("""COMPUTED_VALUE"""),4018)</f>
        <v>4018</v>
      </c>
      <c r="E1601">
        <f ca="1">IFERROR(__xludf.DUMMYFUNCTION("""COMPUTED_VALUE"""),499)</f>
        <v>499</v>
      </c>
      <c r="F1601">
        <v>499</v>
      </c>
      <c r="G1601">
        <v>1</v>
      </c>
      <c r="H1601">
        <v>2497</v>
      </c>
      <c r="I1601">
        <v>4018</v>
      </c>
      <c r="J1601">
        <v>2497</v>
      </c>
      <c r="K1601">
        <v>0.99726092765766439</v>
      </c>
      <c r="L1601">
        <f t="shared" ca="1" si="162"/>
        <v>310.06412899999998</v>
      </c>
      <c r="M1601">
        <f t="shared" si="163"/>
        <v>310.06412899999998</v>
      </c>
      <c r="N1601">
        <v>2497</v>
      </c>
      <c r="O1601">
        <f t="shared" ca="1" si="158"/>
        <v>1</v>
      </c>
    </row>
    <row r="1602" spans="1:15" x14ac:dyDescent="0.2">
      <c r="A1602" t="str">
        <f ca="1">IFERROR(__xludf.DUMMYFUNCTION("""COMPUTED_VALUE"""),"km")</f>
        <v>km</v>
      </c>
      <c r="B1602" t="str">
        <f ca="1">IFERROR(__xludf.DUMMYFUNCTION("""COMPUTED_VALUE"""),"Model 3 LR AWD")</f>
        <v>Model 3 LR AWD</v>
      </c>
      <c r="C1602">
        <f ca="1">IFERROR(__xludf.DUMMYFUNCTION("""COMPUTED_VALUE"""),499)</f>
        <v>499</v>
      </c>
      <c r="D1602">
        <f ca="1">IFERROR(__xludf.DUMMYFUNCTION("""COMPUTED_VALUE"""),400)</f>
        <v>400</v>
      </c>
      <c r="E1602">
        <f ca="1">IFERROR(__xludf.DUMMYFUNCTION("""COMPUTED_VALUE"""),499)</f>
        <v>499</v>
      </c>
      <c r="F1602">
        <v>499</v>
      </c>
      <c r="G1602">
        <v>1</v>
      </c>
      <c r="H1602">
        <v>249</v>
      </c>
      <c r="I1602">
        <v>400</v>
      </c>
      <c r="J1602">
        <v>249</v>
      </c>
      <c r="K1602">
        <v>0.99972602275776756</v>
      </c>
      <c r="L1602">
        <f t="shared" ca="1" si="162"/>
        <v>310.06412899999998</v>
      </c>
      <c r="M1602">
        <f t="shared" si="163"/>
        <v>310.06412899999998</v>
      </c>
      <c r="N1602">
        <v>249</v>
      </c>
      <c r="O1602">
        <f t="shared" ref="O1602:O1665" ca="1" si="164">L1602/M1602</f>
        <v>1</v>
      </c>
    </row>
    <row r="1603" spans="1:15" x14ac:dyDescent="0.2">
      <c r="A1603" t="str">
        <f ca="1">IFERROR(__xludf.DUMMYFUNCTION("""COMPUTED_VALUE"""),"km")</f>
        <v>km</v>
      </c>
      <c r="B1603" t="str">
        <f ca="1">IFERROR(__xludf.DUMMYFUNCTION("""COMPUTED_VALUE"""),"Model X 100D")</f>
        <v>Model X 100D</v>
      </c>
      <c r="C1603">
        <f ca="1">IFERROR(__xludf.DUMMYFUNCTION("""COMPUTED_VALUE"""),453)</f>
        <v>453</v>
      </c>
      <c r="D1603">
        <f ca="1">IFERROR(__xludf.DUMMYFUNCTION("""COMPUTED_VALUE"""),2132)</f>
        <v>2132</v>
      </c>
      <c r="E1603">
        <f ca="1">IFERROR(__xludf.DUMMYFUNCTION("""COMPUTED_VALUE"""),448)</f>
        <v>448</v>
      </c>
      <c r="F1603">
        <v>448</v>
      </c>
      <c r="G1603">
        <v>1</v>
      </c>
      <c r="H1603">
        <v>1325</v>
      </c>
      <c r="I1603">
        <v>2132</v>
      </c>
      <c r="J1603">
        <v>1325</v>
      </c>
      <c r="K1603">
        <v>0.99854300849080269</v>
      </c>
      <c r="L1603">
        <f t="shared" ca="1" si="162"/>
        <v>278.37420800000001</v>
      </c>
      <c r="M1603">
        <f t="shared" si="163"/>
        <v>278.37420800000001</v>
      </c>
      <c r="N1603">
        <v>1325</v>
      </c>
      <c r="O1603">
        <f t="shared" ca="1" si="164"/>
        <v>1</v>
      </c>
    </row>
    <row r="1604" spans="1:15" x14ac:dyDescent="0.2">
      <c r="A1604" t="str">
        <f ca="1">IFERROR(__xludf.DUMMYFUNCTION("""COMPUTED_VALUE"""),"km")</f>
        <v>km</v>
      </c>
      <c r="B1604" t="str">
        <f ca="1">IFERROR(__xludf.DUMMYFUNCTION("""COMPUTED_VALUE"""),"Model X 75D")</f>
        <v>Model X 75D</v>
      </c>
      <c r="C1604">
        <f ca="1">IFERROR(__xludf.DUMMYFUNCTION("""COMPUTED_VALUE"""),334)</f>
        <v>334</v>
      </c>
      <c r="D1604">
        <f ca="1">IFERROR(__xludf.DUMMYFUNCTION("""COMPUTED_VALUE"""),10574)</f>
        <v>10574</v>
      </c>
      <c r="E1604">
        <f ca="1">IFERROR(__xludf.DUMMYFUNCTION("""COMPUTED_VALUE"""),329)</f>
        <v>329</v>
      </c>
      <c r="F1604">
        <v>329</v>
      </c>
      <c r="G1604">
        <v>1</v>
      </c>
      <c r="H1604">
        <v>6570</v>
      </c>
      <c r="I1604">
        <v>10574</v>
      </c>
      <c r="J1604">
        <v>6570</v>
      </c>
      <c r="K1604">
        <v>0.99285407108227686</v>
      </c>
      <c r="L1604">
        <f t="shared" ca="1" si="162"/>
        <v>204.431059</v>
      </c>
      <c r="M1604">
        <f t="shared" si="163"/>
        <v>204.431059</v>
      </c>
      <c r="N1604">
        <v>6570</v>
      </c>
      <c r="O1604">
        <f t="shared" ca="1" si="164"/>
        <v>1</v>
      </c>
    </row>
    <row r="1605" spans="1:15" x14ac:dyDescent="0.2">
      <c r="A1605" t="str">
        <f ca="1">IFERROR(__xludf.DUMMYFUNCTION("""COMPUTED_VALUE"""),"km")</f>
        <v>km</v>
      </c>
      <c r="B1605" t="str">
        <f ca="1">IFERROR(__xludf.DUMMYFUNCTION("""COMPUTED_VALUE"""),"Model S 75D")</f>
        <v>Model S 75D</v>
      </c>
      <c r="C1605">
        <f ca="1">IFERROR(__xludf.DUMMYFUNCTION("""COMPUTED_VALUE"""),388)</f>
        <v>388</v>
      </c>
      <c r="D1605">
        <f ca="1">IFERROR(__xludf.DUMMYFUNCTION("""COMPUTED_VALUE"""),18375)</f>
        <v>18375</v>
      </c>
      <c r="E1605">
        <f ca="1">IFERROR(__xludf.DUMMYFUNCTION("""COMPUTED_VALUE"""),384)</f>
        <v>384</v>
      </c>
      <c r="F1605">
        <v>384</v>
      </c>
      <c r="G1605">
        <v>1</v>
      </c>
      <c r="H1605">
        <v>11418</v>
      </c>
      <c r="I1605">
        <v>18375</v>
      </c>
      <c r="J1605">
        <v>11418</v>
      </c>
      <c r="K1605">
        <v>0.98771181316110646</v>
      </c>
      <c r="L1605">
        <f t="shared" ca="1" si="162"/>
        <v>238.60646400000002</v>
      </c>
      <c r="M1605">
        <f t="shared" si="163"/>
        <v>238.60646400000002</v>
      </c>
      <c r="N1605">
        <v>11418</v>
      </c>
      <c r="O1605">
        <f t="shared" ca="1" si="164"/>
        <v>1</v>
      </c>
    </row>
    <row r="1606" spans="1:15" x14ac:dyDescent="0.2">
      <c r="A1606" t="str">
        <f ca="1">IFERROR(__xludf.DUMMYFUNCTION("""COMPUTED_VALUE"""),"km")</f>
        <v>km</v>
      </c>
      <c r="B1606" t="str">
        <f ca="1">IFERROR(__xludf.DUMMYFUNCTION("""COMPUTED_VALUE"""),"Model S 75D")</f>
        <v>Model S 75D</v>
      </c>
      <c r="C1606">
        <f ca="1">IFERROR(__xludf.DUMMYFUNCTION("""COMPUTED_VALUE"""),384)</f>
        <v>384</v>
      </c>
      <c r="D1606">
        <f ca="1">IFERROR(__xludf.DUMMYFUNCTION("""COMPUTED_VALUE"""),1672)</f>
        <v>1672</v>
      </c>
      <c r="E1606">
        <f ca="1">IFERROR(__xludf.DUMMYFUNCTION("""COMPUTED_VALUE"""),384)</f>
        <v>384</v>
      </c>
      <c r="F1606">
        <v>384</v>
      </c>
      <c r="G1606">
        <v>1</v>
      </c>
      <c r="H1606">
        <v>1039</v>
      </c>
      <c r="I1606">
        <v>1672</v>
      </c>
      <c r="J1606">
        <v>1039</v>
      </c>
      <c r="K1606">
        <v>0.99885667958838287</v>
      </c>
      <c r="L1606">
        <f t="shared" ca="1" si="162"/>
        <v>238.60646400000002</v>
      </c>
      <c r="M1606">
        <f t="shared" si="163"/>
        <v>238.60646400000002</v>
      </c>
      <c r="N1606">
        <v>1039</v>
      </c>
      <c r="O1606">
        <f t="shared" ca="1" si="164"/>
        <v>1</v>
      </c>
    </row>
    <row r="1607" spans="1:15" x14ac:dyDescent="0.2">
      <c r="A1607" t="str">
        <f ca="1">IFERROR(__xludf.DUMMYFUNCTION("""COMPUTED_VALUE"""),"km")</f>
        <v>km</v>
      </c>
      <c r="B1607" t="str">
        <f ca="1">IFERROR(__xludf.DUMMYFUNCTION("""COMPUTED_VALUE"""),"Model S 75D")</f>
        <v>Model S 75D</v>
      </c>
      <c r="C1607">
        <f ca="1">IFERROR(__xludf.DUMMYFUNCTION("""COMPUTED_VALUE"""),386)</f>
        <v>386</v>
      </c>
      <c r="D1607">
        <f ca="1">IFERROR(__xludf.DUMMYFUNCTION("""COMPUTED_VALUE"""),2642)</f>
        <v>2642</v>
      </c>
      <c r="E1607">
        <f ca="1">IFERROR(__xludf.DUMMYFUNCTION("""COMPUTED_VALUE"""),384)</f>
        <v>384</v>
      </c>
      <c r="F1607">
        <v>384</v>
      </c>
      <c r="G1607">
        <v>1</v>
      </c>
      <c r="H1607">
        <v>1642</v>
      </c>
      <c r="I1607">
        <v>2642</v>
      </c>
      <c r="J1607">
        <v>1642</v>
      </c>
      <c r="K1607">
        <v>0.99819568642916767</v>
      </c>
      <c r="L1607">
        <f t="shared" ca="1" si="162"/>
        <v>238.60646400000002</v>
      </c>
      <c r="M1607">
        <f t="shared" si="163"/>
        <v>238.60646400000002</v>
      </c>
      <c r="N1607">
        <v>1642</v>
      </c>
      <c r="O1607">
        <f t="shared" ca="1" si="164"/>
        <v>1</v>
      </c>
    </row>
    <row r="1608" spans="1:15" x14ac:dyDescent="0.2">
      <c r="A1608" t="str">
        <f ca="1">IFERROR(__xludf.DUMMYFUNCTION("""COMPUTED_VALUE"""),"km")</f>
        <v>km</v>
      </c>
      <c r="B1608" t="str">
        <f ca="1">IFERROR(__xludf.DUMMYFUNCTION("""COMPUTED_VALUE"""),"Model S 70D")</f>
        <v>Model S 70D</v>
      </c>
      <c r="D1608">
        <f ca="1">IFERROR(__xludf.DUMMYFUNCTION("""COMPUTED_VALUE"""),66000)</f>
        <v>66000</v>
      </c>
      <c r="E1608">
        <f ca="1">IFERROR(__xludf.DUMMYFUNCTION("""COMPUTED_VALUE"""),360)</f>
        <v>360</v>
      </c>
      <c r="F1608">
        <v>360</v>
      </c>
      <c r="G1608">
        <v>1</v>
      </c>
      <c r="H1608">
        <v>41010</v>
      </c>
      <c r="I1608">
        <v>66000</v>
      </c>
      <c r="J1608">
        <v>41010</v>
      </c>
      <c r="K1608">
        <v>0.95876692062760904</v>
      </c>
      <c r="L1608">
        <f t="shared" ca="1" si="162"/>
        <v>223.69355999999999</v>
      </c>
      <c r="M1608">
        <f t="shared" si="163"/>
        <v>223.69355999999999</v>
      </c>
      <c r="N1608">
        <v>41010</v>
      </c>
      <c r="O1608">
        <f t="shared" ca="1" si="164"/>
        <v>1</v>
      </c>
    </row>
    <row r="1609" spans="1:15" x14ac:dyDescent="0.2">
      <c r="A1609" t="str">
        <f ca="1">IFERROR(__xludf.DUMMYFUNCTION("""COMPUTED_VALUE"""),"km")</f>
        <v>km</v>
      </c>
      <c r="B1609" t="str">
        <f ca="1">IFERROR(__xludf.DUMMYFUNCTION("""COMPUTED_VALUE"""),"Model S 85D")</f>
        <v>Model S 85D</v>
      </c>
      <c r="C1609">
        <f ca="1">IFERROR(__xludf.DUMMYFUNCTION("""COMPUTED_VALUE"""),435)</f>
        <v>435</v>
      </c>
      <c r="D1609">
        <f ca="1">IFERROR(__xludf.DUMMYFUNCTION("""COMPUTED_VALUE"""),31589)</f>
        <v>31589</v>
      </c>
      <c r="E1609">
        <f ca="1">IFERROR(__xludf.DUMMYFUNCTION("""COMPUTED_VALUE"""),435)</f>
        <v>435</v>
      </c>
      <c r="F1609">
        <v>435</v>
      </c>
      <c r="G1609">
        <v>1</v>
      </c>
      <c r="H1609">
        <v>19628</v>
      </c>
      <c r="I1609">
        <v>31589</v>
      </c>
      <c r="J1609">
        <v>19628</v>
      </c>
      <c r="K1609">
        <v>0.97925564757946315</v>
      </c>
      <c r="L1609">
        <f t="shared" ca="1" si="162"/>
        <v>270.29638499999999</v>
      </c>
      <c r="M1609">
        <f t="shared" si="163"/>
        <v>270.29638499999999</v>
      </c>
      <c r="N1609">
        <v>19628</v>
      </c>
      <c r="O1609">
        <f t="shared" ca="1" si="164"/>
        <v>1</v>
      </c>
    </row>
    <row r="1610" spans="1:15" x14ac:dyDescent="0.2">
      <c r="A1610" t="str">
        <f ca="1">IFERROR(__xludf.DUMMYFUNCTION("""COMPUTED_VALUE"""),"km")</f>
        <v>km</v>
      </c>
      <c r="B1610" t="str">
        <f ca="1">IFERROR(__xludf.DUMMYFUNCTION("""COMPUTED_VALUE"""),"Model X 90D")</f>
        <v>Model X 90D</v>
      </c>
      <c r="D1610">
        <f ca="1">IFERROR(__xludf.DUMMYFUNCTION("""COMPUTED_VALUE"""),120728)</f>
        <v>120728</v>
      </c>
      <c r="E1610">
        <f ca="1">IFERROR(__xludf.DUMMYFUNCTION("""COMPUTED_VALUE"""),400)</f>
        <v>400</v>
      </c>
      <c r="F1610">
        <v>400</v>
      </c>
      <c r="G1610">
        <v>1</v>
      </c>
      <c r="H1610">
        <v>75017</v>
      </c>
      <c r="I1610">
        <v>120728</v>
      </c>
      <c r="J1610">
        <v>75017</v>
      </c>
      <c r="K1610">
        <v>0.93092320555485508</v>
      </c>
      <c r="L1610">
        <f t="shared" ca="1" si="162"/>
        <v>248.54840000000002</v>
      </c>
      <c r="M1610">
        <f t="shared" si="163"/>
        <v>248.54840000000002</v>
      </c>
      <c r="N1610">
        <v>75017</v>
      </c>
      <c r="O1610">
        <f t="shared" ca="1" si="164"/>
        <v>1</v>
      </c>
    </row>
    <row r="1611" spans="1:15" x14ac:dyDescent="0.2">
      <c r="A1611" t="str">
        <f ca="1">IFERROR(__xludf.DUMMYFUNCTION("""COMPUTED_VALUE"""),"km")</f>
        <v>km</v>
      </c>
      <c r="B1611" t="str">
        <f ca="1">IFERROR(__xludf.DUMMYFUNCTION("""COMPUTED_VALUE"""),"Model S 75")</f>
        <v>Model S 75</v>
      </c>
      <c r="C1611">
        <f ca="1">IFERROR(__xludf.DUMMYFUNCTION("""COMPUTED_VALUE"""),384)</f>
        <v>384</v>
      </c>
      <c r="D1611">
        <f ca="1">IFERROR(__xludf.DUMMYFUNCTION("""COMPUTED_VALUE"""),21634)</f>
        <v>21634</v>
      </c>
      <c r="E1611">
        <f ca="1">IFERROR(__xludf.DUMMYFUNCTION("""COMPUTED_VALUE"""),375)</f>
        <v>375</v>
      </c>
      <c r="F1611">
        <v>375</v>
      </c>
      <c r="G1611">
        <v>1</v>
      </c>
      <c r="H1611">
        <v>13443</v>
      </c>
      <c r="I1611">
        <v>21634</v>
      </c>
      <c r="J1611">
        <v>13443</v>
      </c>
      <c r="K1611">
        <v>0.98559642250748547</v>
      </c>
      <c r="L1611">
        <f t="shared" ca="1" si="162"/>
        <v>233.01412500000001</v>
      </c>
      <c r="M1611">
        <f t="shared" si="163"/>
        <v>233.01412500000001</v>
      </c>
      <c r="N1611">
        <v>13443</v>
      </c>
      <c r="O1611">
        <f t="shared" ca="1" si="164"/>
        <v>1</v>
      </c>
    </row>
    <row r="1612" spans="1:15" x14ac:dyDescent="0.2">
      <c r="A1612" t="str">
        <f ca="1">IFERROR(__xludf.DUMMYFUNCTION("""COMPUTED_VALUE"""),"km")</f>
        <v>km</v>
      </c>
      <c r="B1612" t="str">
        <f ca="1">IFERROR(__xludf.DUMMYFUNCTION("""COMPUTED_VALUE"""),"Model S 90D")</f>
        <v>Model S 90D</v>
      </c>
      <c r="C1612">
        <f ca="1">IFERROR(__xludf.DUMMYFUNCTION("""COMPUTED_VALUE"""),441)</f>
        <v>441</v>
      </c>
      <c r="D1612">
        <f ca="1">IFERROR(__xludf.DUMMYFUNCTION("""COMPUTED_VALUE"""),4362)</f>
        <v>4362</v>
      </c>
      <c r="E1612">
        <f ca="1">IFERROR(__xludf.DUMMYFUNCTION("""COMPUTED_VALUE"""),447)</f>
        <v>447</v>
      </c>
      <c r="F1612">
        <v>447</v>
      </c>
      <c r="G1612">
        <v>1</v>
      </c>
      <c r="H1612">
        <v>2710</v>
      </c>
      <c r="I1612">
        <v>4362</v>
      </c>
      <c r="J1612">
        <v>2710</v>
      </c>
      <c r="K1612">
        <v>0.99702776959121264</v>
      </c>
      <c r="L1612">
        <f t="shared" ca="1" si="162"/>
        <v>277.752837</v>
      </c>
      <c r="M1612">
        <f t="shared" si="163"/>
        <v>277.752837</v>
      </c>
      <c r="N1612">
        <v>2710</v>
      </c>
      <c r="O1612">
        <f t="shared" ca="1" si="164"/>
        <v>1</v>
      </c>
    </row>
    <row r="1613" spans="1:15" x14ac:dyDescent="0.2">
      <c r="A1613" t="str">
        <f ca="1">IFERROR(__xludf.DUMMYFUNCTION("""COMPUTED_VALUE"""),"km")</f>
        <v>km</v>
      </c>
      <c r="B1613" t="str">
        <f ca="1">IFERROR(__xludf.DUMMYFUNCTION("""COMPUTED_VALUE"""),"Model S 85D")</f>
        <v>Model S 85D</v>
      </c>
      <c r="C1613">
        <f ca="1">IFERROR(__xludf.DUMMYFUNCTION("""COMPUTED_VALUE"""),435)</f>
        <v>435</v>
      </c>
      <c r="D1613">
        <f ca="1">IFERROR(__xludf.DUMMYFUNCTION("""COMPUTED_VALUE"""),22611)</f>
        <v>22611</v>
      </c>
      <c r="E1613">
        <f ca="1">IFERROR(__xludf.DUMMYFUNCTION("""COMPUTED_VALUE"""),435)</f>
        <v>435</v>
      </c>
      <c r="F1613">
        <v>435</v>
      </c>
      <c r="G1613">
        <v>1</v>
      </c>
      <c r="H1613">
        <v>14050</v>
      </c>
      <c r="I1613">
        <v>22611</v>
      </c>
      <c r="J1613">
        <v>14050</v>
      </c>
      <c r="K1613">
        <v>0.98496605152289185</v>
      </c>
      <c r="L1613">
        <f t="shared" ca="1" si="162"/>
        <v>270.29638499999999</v>
      </c>
      <c r="M1613">
        <f t="shared" si="163"/>
        <v>270.29638499999999</v>
      </c>
      <c r="N1613">
        <v>14050</v>
      </c>
      <c r="O1613">
        <f t="shared" ca="1" si="164"/>
        <v>1</v>
      </c>
    </row>
    <row r="1614" spans="1:15" x14ac:dyDescent="0.2">
      <c r="A1614" t="str">
        <f ca="1">IFERROR(__xludf.DUMMYFUNCTION("""COMPUTED_VALUE"""),"km")</f>
        <v>km</v>
      </c>
      <c r="B1614" t="str">
        <f ca="1">IFERROR(__xludf.DUMMYFUNCTION("""COMPUTED_VALUE"""),"Model S 90D")</f>
        <v>Model S 90D</v>
      </c>
      <c r="C1614">
        <f ca="1">IFERROR(__xludf.DUMMYFUNCTION("""COMPUTED_VALUE"""),441)</f>
        <v>441</v>
      </c>
      <c r="D1614">
        <f ca="1">IFERROR(__xludf.DUMMYFUNCTION("""COMPUTED_VALUE"""),2361)</f>
        <v>2361</v>
      </c>
      <c r="E1614">
        <f ca="1">IFERROR(__xludf.DUMMYFUNCTION("""COMPUTED_VALUE"""),447)</f>
        <v>447</v>
      </c>
      <c r="F1614">
        <v>447</v>
      </c>
      <c r="G1614">
        <v>1</v>
      </c>
      <c r="H1614">
        <v>1467</v>
      </c>
      <c r="I1614">
        <v>2361</v>
      </c>
      <c r="J1614">
        <v>1467</v>
      </c>
      <c r="K1614">
        <v>0.99838699634209704</v>
      </c>
      <c r="L1614">
        <f t="shared" ca="1" si="162"/>
        <v>277.752837</v>
      </c>
      <c r="M1614">
        <f t="shared" si="163"/>
        <v>277.752837</v>
      </c>
      <c r="N1614">
        <v>1467</v>
      </c>
      <c r="O1614">
        <f t="shared" ca="1" si="164"/>
        <v>1</v>
      </c>
    </row>
    <row r="1615" spans="1:15" x14ac:dyDescent="0.2">
      <c r="A1615" t="str">
        <f ca="1">IFERROR(__xludf.DUMMYFUNCTION("""COMPUTED_VALUE"""),"km")</f>
        <v>km</v>
      </c>
      <c r="B1615" t="str">
        <f ca="1">IFERROR(__xludf.DUMMYFUNCTION("""COMPUTED_VALUE"""),"Model S 90D")</f>
        <v>Model S 90D</v>
      </c>
      <c r="D1615">
        <f ca="1">IFERROR(__xludf.DUMMYFUNCTION("""COMPUTED_VALUE"""),20000)</f>
        <v>20000</v>
      </c>
      <c r="E1615">
        <f ca="1">IFERROR(__xludf.DUMMYFUNCTION("""COMPUTED_VALUE"""),447)</f>
        <v>447</v>
      </c>
      <c r="F1615">
        <v>447</v>
      </c>
      <c r="G1615">
        <v>1</v>
      </c>
      <c r="H1615">
        <v>12427</v>
      </c>
      <c r="I1615">
        <v>20000</v>
      </c>
      <c r="J1615">
        <v>12427</v>
      </c>
      <c r="K1615">
        <v>0.98665460835518037</v>
      </c>
      <c r="L1615">
        <f t="shared" ca="1" si="162"/>
        <v>277.752837</v>
      </c>
      <c r="M1615">
        <f t="shared" si="163"/>
        <v>277.752837</v>
      </c>
      <c r="N1615">
        <v>12427</v>
      </c>
      <c r="O1615">
        <f t="shared" ca="1" si="164"/>
        <v>1</v>
      </c>
    </row>
    <row r="1616" spans="1:15" x14ac:dyDescent="0.2">
      <c r="A1616" t="str">
        <f ca="1">IFERROR(__xludf.DUMMYFUNCTION("""COMPUTED_VALUE"""),"km")</f>
        <v>km</v>
      </c>
      <c r="B1616" t="str">
        <f ca="1">IFERROR(__xludf.DUMMYFUNCTION("""COMPUTED_VALUE"""),"Model S P90D")</f>
        <v>Model S P90D</v>
      </c>
      <c r="C1616">
        <f ca="1">IFERROR(__xludf.DUMMYFUNCTION("""COMPUTED_VALUE"""),412)</f>
        <v>412</v>
      </c>
      <c r="D1616">
        <f ca="1">IFERROR(__xludf.DUMMYFUNCTION("""COMPUTED_VALUE"""),1330)</f>
        <v>1330</v>
      </c>
      <c r="E1616">
        <f ca="1">IFERROR(__xludf.DUMMYFUNCTION("""COMPUTED_VALUE"""),412)</f>
        <v>412</v>
      </c>
      <c r="F1616">
        <v>412</v>
      </c>
      <c r="G1616">
        <v>1</v>
      </c>
      <c r="H1616">
        <v>826</v>
      </c>
      <c r="I1616">
        <v>1330</v>
      </c>
      <c r="J1616">
        <v>826</v>
      </c>
      <c r="K1616">
        <v>0.99909013312701789</v>
      </c>
      <c r="L1616">
        <f t="shared" ca="1" si="162"/>
        <v>256.00485200000003</v>
      </c>
      <c r="M1616">
        <f t="shared" si="163"/>
        <v>256.00485200000003</v>
      </c>
      <c r="N1616">
        <v>826</v>
      </c>
      <c r="O1616">
        <f t="shared" ca="1" si="164"/>
        <v>1</v>
      </c>
    </row>
    <row r="1617" spans="1:15" x14ac:dyDescent="0.2">
      <c r="A1617" t="str">
        <f ca="1">IFERROR(__xludf.DUMMYFUNCTION("""COMPUTED_VALUE"""),"km")</f>
        <v>km</v>
      </c>
      <c r="B1617" t="str">
        <f ca="1">IFERROR(__xludf.DUMMYFUNCTION("""COMPUTED_VALUE"""),"Model S 90D")</f>
        <v>Model S 90D</v>
      </c>
      <c r="D1617">
        <f ca="1">IFERROR(__xludf.DUMMYFUNCTION("""COMPUTED_VALUE"""),15000)</f>
        <v>15000</v>
      </c>
      <c r="E1617">
        <f ca="1">IFERROR(__xludf.DUMMYFUNCTION("""COMPUTED_VALUE"""),447)</f>
        <v>447</v>
      </c>
      <c r="F1617">
        <v>447</v>
      </c>
      <c r="G1617">
        <v>1</v>
      </c>
      <c r="H1617">
        <v>9321</v>
      </c>
      <c r="I1617">
        <v>15000</v>
      </c>
      <c r="J1617">
        <v>9321</v>
      </c>
      <c r="K1617">
        <v>0.989922953453928</v>
      </c>
      <c r="L1617">
        <f t="shared" ca="1" si="162"/>
        <v>277.752837</v>
      </c>
      <c r="M1617">
        <f t="shared" si="163"/>
        <v>277.752837</v>
      </c>
      <c r="N1617">
        <v>9321</v>
      </c>
      <c r="O1617">
        <f t="shared" ca="1" si="164"/>
        <v>1</v>
      </c>
    </row>
    <row r="1618" spans="1:15" x14ac:dyDescent="0.2">
      <c r="A1618" t="str">
        <f ca="1">IFERROR(__xludf.DUMMYFUNCTION("""COMPUTED_VALUE"""),"km")</f>
        <v>km</v>
      </c>
      <c r="B1618" t="str">
        <f ca="1">IFERROR(__xludf.DUMMYFUNCTION("""COMPUTED_VALUE"""),"Model S 85D")</f>
        <v>Model S 85D</v>
      </c>
      <c r="C1618">
        <f ca="1">IFERROR(__xludf.DUMMYFUNCTION("""COMPUTED_VALUE"""),425)</f>
        <v>425</v>
      </c>
      <c r="D1618">
        <f ca="1">IFERROR(__xludf.DUMMYFUNCTION("""COMPUTED_VALUE"""),54500)</f>
        <v>54500</v>
      </c>
      <c r="E1618">
        <f ca="1">IFERROR(__xludf.DUMMYFUNCTION("""COMPUTED_VALUE"""),425)</f>
        <v>425</v>
      </c>
      <c r="F1618">
        <v>425</v>
      </c>
      <c r="G1618">
        <v>1</v>
      </c>
      <c r="H1618">
        <v>33865</v>
      </c>
      <c r="I1618">
        <v>54500</v>
      </c>
      <c r="J1618">
        <v>33865</v>
      </c>
      <c r="K1618">
        <v>0.96536443573687436</v>
      </c>
      <c r="L1618">
        <f t="shared" ca="1" si="162"/>
        <v>264.08267499999999</v>
      </c>
      <c r="M1618">
        <f t="shared" si="163"/>
        <v>264.08267499999999</v>
      </c>
      <c r="N1618">
        <v>33865</v>
      </c>
      <c r="O1618">
        <f t="shared" ca="1" si="164"/>
        <v>1</v>
      </c>
    </row>
    <row r="1619" spans="1:15" x14ac:dyDescent="0.2">
      <c r="A1619" t="str">
        <f ca="1">IFERROR(__xludf.DUMMYFUNCTION("""COMPUTED_VALUE"""),"km")</f>
        <v>km</v>
      </c>
      <c r="B1619" t="str">
        <f ca="1">IFERROR(__xludf.DUMMYFUNCTION("""COMPUTED_VALUE"""),"Model S 70D")</f>
        <v>Model S 70D</v>
      </c>
      <c r="C1619">
        <f ca="1">IFERROR(__xludf.DUMMYFUNCTION("""COMPUTED_VALUE"""),365)</f>
        <v>365</v>
      </c>
      <c r="D1619">
        <f ca="1">IFERROR(__xludf.DUMMYFUNCTION("""COMPUTED_VALUE"""),11500)</f>
        <v>11500</v>
      </c>
      <c r="E1619">
        <f ca="1">IFERROR(__xludf.DUMMYFUNCTION("""COMPUTED_VALUE"""),360)</f>
        <v>360</v>
      </c>
      <c r="F1619">
        <v>360</v>
      </c>
      <c r="G1619">
        <v>1</v>
      </c>
      <c r="H1619">
        <v>7146</v>
      </c>
      <c r="I1619">
        <v>11500</v>
      </c>
      <c r="J1619">
        <v>7146</v>
      </c>
      <c r="K1619">
        <v>0.99223788686150438</v>
      </c>
      <c r="L1619">
        <f t="shared" ca="1" si="162"/>
        <v>223.69355999999999</v>
      </c>
      <c r="M1619">
        <f t="shared" si="163"/>
        <v>223.69355999999999</v>
      </c>
      <c r="N1619">
        <v>7146</v>
      </c>
      <c r="O1619">
        <f t="shared" ca="1" si="164"/>
        <v>1</v>
      </c>
    </row>
    <row r="1620" spans="1:15" x14ac:dyDescent="0.2">
      <c r="A1620" t="str">
        <f ca="1">IFERROR(__xludf.DUMMYFUNCTION("""COMPUTED_VALUE"""),"km")</f>
        <v>km</v>
      </c>
      <c r="B1620" t="str">
        <f ca="1">IFERROR(__xludf.DUMMYFUNCTION("""COMPUTED_VALUE"""),"Model S 70D")</f>
        <v>Model S 70D</v>
      </c>
      <c r="D1620">
        <f ca="1">IFERROR(__xludf.DUMMYFUNCTION("""COMPUTED_VALUE"""),15300)</f>
        <v>15300</v>
      </c>
      <c r="E1620">
        <f ca="1">IFERROR(__xludf.DUMMYFUNCTION("""COMPUTED_VALUE"""),360)</f>
        <v>360</v>
      </c>
      <c r="F1620">
        <v>360</v>
      </c>
      <c r="G1620">
        <v>1</v>
      </c>
      <c r="H1620">
        <v>9507</v>
      </c>
      <c r="I1620">
        <v>15300</v>
      </c>
      <c r="J1620">
        <v>9507</v>
      </c>
      <c r="K1620">
        <v>0.98972556688503688</v>
      </c>
      <c r="L1620">
        <f t="shared" ca="1" si="162"/>
        <v>223.69355999999999</v>
      </c>
      <c r="M1620">
        <f t="shared" si="163"/>
        <v>223.69355999999999</v>
      </c>
      <c r="N1620">
        <v>9507</v>
      </c>
      <c r="O1620">
        <f t="shared" ca="1" si="164"/>
        <v>1</v>
      </c>
    </row>
    <row r="1621" spans="1:15" x14ac:dyDescent="0.2">
      <c r="A1621" t="str">
        <f ca="1">IFERROR(__xludf.DUMMYFUNCTION("""COMPUTED_VALUE"""),"km")</f>
        <v>km</v>
      </c>
      <c r="B1621" t="str">
        <f ca="1">IFERROR(__xludf.DUMMYFUNCTION("""COMPUTED_VALUE"""),"Model S 70D")</f>
        <v>Model S 70D</v>
      </c>
      <c r="C1621">
        <f ca="1">IFERROR(__xludf.DUMMYFUNCTION("""COMPUTED_VALUE"""),360)</f>
        <v>360</v>
      </c>
      <c r="D1621">
        <f ca="1">IFERROR(__xludf.DUMMYFUNCTION("""COMPUTED_VALUE"""),2787)</f>
        <v>2787</v>
      </c>
      <c r="E1621">
        <f ca="1">IFERROR(__xludf.DUMMYFUNCTION("""COMPUTED_VALUE"""),360)</f>
        <v>360</v>
      </c>
      <c r="F1621">
        <v>360</v>
      </c>
      <c r="G1621">
        <v>1</v>
      </c>
      <c r="H1621">
        <v>1732</v>
      </c>
      <c r="I1621">
        <v>2787</v>
      </c>
      <c r="J1621">
        <v>1732</v>
      </c>
      <c r="K1621">
        <v>0.99809702322352378</v>
      </c>
      <c r="L1621">
        <f t="shared" ca="1" si="162"/>
        <v>223.69355999999999</v>
      </c>
      <c r="M1621">
        <f t="shared" si="163"/>
        <v>223.69355999999999</v>
      </c>
      <c r="N1621">
        <v>1732</v>
      </c>
      <c r="O1621">
        <f t="shared" ca="1" si="164"/>
        <v>1</v>
      </c>
    </row>
    <row r="1622" spans="1:15" x14ac:dyDescent="0.2">
      <c r="A1622" t="str">
        <f ca="1">IFERROR(__xludf.DUMMYFUNCTION("""COMPUTED_VALUE"""),"km")</f>
        <v>km</v>
      </c>
      <c r="B1622" t="str">
        <f ca="1">IFERROR(__xludf.DUMMYFUNCTION("""COMPUTED_VALUE"""),"Model S 85")</f>
        <v>Model S 85</v>
      </c>
      <c r="D1622">
        <f ca="1">IFERROR(__xludf.DUMMYFUNCTION("""COMPUTED_VALUE"""),9934)</f>
        <v>9934</v>
      </c>
      <c r="E1622">
        <f ca="1">IFERROR(__xludf.DUMMYFUNCTION("""COMPUTED_VALUE"""),395)</f>
        <v>395</v>
      </c>
      <c r="F1622">
        <v>395</v>
      </c>
      <c r="G1622">
        <v>1</v>
      </c>
      <c r="H1622">
        <v>6173</v>
      </c>
      <c r="I1622">
        <v>9934</v>
      </c>
      <c r="J1622">
        <v>6173</v>
      </c>
      <c r="K1622">
        <v>0.99328085124218413</v>
      </c>
      <c r="L1622">
        <f t="shared" ca="1" si="162"/>
        <v>245.44154499999999</v>
      </c>
      <c r="M1622">
        <f t="shared" si="163"/>
        <v>245.44154499999999</v>
      </c>
      <c r="N1622">
        <v>6173</v>
      </c>
      <c r="O1622">
        <f t="shared" ca="1" si="164"/>
        <v>1</v>
      </c>
    </row>
    <row r="1623" spans="1:15" x14ac:dyDescent="0.2">
      <c r="A1623" t="str">
        <f ca="1">IFERROR(__xludf.DUMMYFUNCTION("""COMPUTED_VALUE"""),"km")</f>
        <v>km</v>
      </c>
      <c r="B1623" t="str">
        <f ca="1">IFERROR(__xludf.DUMMYFUNCTION("""COMPUTED_VALUE"""),"Model S P85D")</f>
        <v>Model S P85D</v>
      </c>
      <c r="C1623">
        <f ca="1">IFERROR(__xludf.DUMMYFUNCTION("""COMPUTED_VALUE"""),406)</f>
        <v>406</v>
      </c>
      <c r="D1623">
        <f ca="1">IFERROR(__xludf.DUMMYFUNCTION("""COMPUTED_VALUE"""),7882)</f>
        <v>7882</v>
      </c>
      <c r="E1623">
        <f ca="1">IFERROR(__xludf.DUMMYFUNCTION("""COMPUTED_VALUE"""),403)</f>
        <v>403</v>
      </c>
      <c r="F1623">
        <v>403</v>
      </c>
      <c r="G1623">
        <v>1</v>
      </c>
      <c r="H1623">
        <v>4898</v>
      </c>
      <c r="I1623">
        <v>7882</v>
      </c>
      <c r="J1623">
        <v>4898</v>
      </c>
      <c r="K1623">
        <v>0.99465421117868424</v>
      </c>
      <c r="L1623">
        <f t="shared" ca="1" si="162"/>
        <v>250.41251299999999</v>
      </c>
      <c r="M1623">
        <f t="shared" si="163"/>
        <v>250.41251299999999</v>
      </c>
      <c r="N1623">
        <v>4898</v>
      </c>
      <c r="O1623">
        <f t="shared" ca="1" si="164"/>
        <v>1</v>
      </c>
    </row>
    <row r="1624" spans="1:15" x14ac:dyDescent="0.2">
      <c r="A1624" t="str">
        <f ca="1">IFERROR(__xludf.DUMMYFUNCTION("""COMPUTED_VALUE"""),"km")</f>
        <v>km</v>
      </c>
      <c r="B1624" t="str">
        <f ca="1">IFERROR(__xludf.DUMMYFUNCTION("""COMPUTED_VALUE"""),"Model S P85D")</f>
        <v>Model S P85D</v>
      </c>
      <c r="C1624">
        <f ca="1">IFERROR(__xludf.DUMMYFUNCTION("""COMPUTED_VALUE"""),406)</f>
        <v>406</v>
      </c>
      <c r="D1624">
        <f ca="1">IFERROR(__xludf.DUMMYFUNCTION("""COMPUTED_VALUE"""),6832)</f>
        <v>6832</v>
      </c>
      <c r="E1624">
        <f ca="1">IFERROR(__xludf.DUMMYFUNCTION("""COMPUTED_VALUE"""),403)</f>
        <v>403</v>
      </c>
      <c r="F1624">
        <v>403</v>
      </c>
      <c r="G1624">
        <v>1</v>
      </c>
      <c r="H1624">
        <v>4245</v>
      </c>
      <c r="I1624">
        <v>6832</v>
      </c>
      <c r="J1624">
        <v>4245</v>
      </c>
      <c r="K1624">
        <v>0.99535989548189341</v>
      </c>
      <c r="L1624">
        <f t="shared" ca="1" si="162"/>
        <v>250.41251299999999</v>
      </c>
      <c r="M1624">
        <f t="shared" si="163"/>
        <v>250.41251299999999</v>
      </c>
      <c r="N1624">
        <v>4245</v>
      </c>
      <c r="O1624">
        <f t="shared" ca="1" si="164"/>
        <v>1</v>
      </c>
    </row>
    <row r="1625" spans="1:15" x14ac:dyDescent="0.2">
      <c r="A1625" t="str">
        <f ca="1">IFERROR(__xludf.DUMMYFUNCTION("""COMPUTED_VALUE"""),"km")</f>
        <v>km</v>
      </c>
      <c r="B1625" t="str">
        <f ca="1">IFERROR(__xludf.DUMMYFUNCTION("""COMPUTED_VALUE"""),"Model S P85D")</f>
        <v>Model S P85D</v>
      </c>
      <c r="C1625">
        <f ca="1">IFERROR(__xludf.DUMMYFUNCTION("""COMPUTED_VALUE"""),406)</f>
        <v>406</v>
      </c>
      <c r="D1625">
        <f ca="1">IFERROR(__xludf.DUMMYFUNCTION("""COMPUTED_VALUE"""),1904)</f>
        <v>1904</v>
      </c>
      <c r="E1625">
        <f ca="1">IFERROR(__xludf.DUMMYFUNCTION("""COMPUTED_VALUE"""),403)</f>
        <v>403</v>
      </c>
      <c r="F1625">
        <v>403</v>
      </c>
      <c r="G1625">
        <v>1</v>
      </c>
      <c r="H1625">
        <v>1183</v>
      </c>
      <c r="I1625">
        <v>1904</v>
      </c>
      <c r="J1625">
        <v>1183</v>
      </c>
      <c r="K1625">
        <v>0.99869843282046999</v>
      </c>
      <c r="L1625">
        <f t="shared" ca="1" si="162"/>
        <v>250.41251299999999</v>
      </c>
      <c r="M1625">
        <f t="shared" si="163"/>
        <v>250.41251299999999</v>
      </c>
      <c r="N1625">
        <v>1183</v>
      </c>
      <c r="O1625">
        <f t="shared" ca="1" si="164"/>
        <v>1</v>
      </c>
    </row>
    <row r="1626" spans="1:15" x14ac:dyDescent="0.2">
      <c r="A1626" t="str">
        <f ca="1">IFERROR(__xludf.DUMMYFUNCTION("""COMPUTED_VALUE"""),"km")</f>
        <v>km</v>
      </c>
      <c r="B1626" t="str">
        <f ca="1">IFERROR(__xludf.DUMMYFUNCTION("""COMPUTED_VALUE"""),"Model S 85")</f>
        <v>Model S 85</v>
      </c>
      <c r="D1626">
        <f ca="1">IFERROR(__xludf.DUMMYFUNCTION("""COMPUTED_VALUE"""),5500)</f>
        <v>5500</v>
      </c>
      <c r="E1626">
        <f ca="1">IFERROR(__xludf.DUMMYFUNCTION("""COMPUTED_VALUE"""),395)</f>
        <v>395</v>
      </c>
      <c r="F1626">
        <v>395</v>
      </c>
      <c r="G1626">
        <v>1</v>
      </c>
      <c r="H1626">
        <v>3418</v>
      </c>
      <c r="I1626">
        <v>5500</v>
      </c>
      <c r="J1626">
        <v>3418</v>
      </c>
      <c r="K1626">
        <v>0.99625796715370518</v>
      </c>
      <c r="L1626">
        <f t="shared" ca="1" si="162"/>
        <v>245.44154499999999</v>
      </c>
      <c r="M1626">
        <f t="shared" si="163"/>
        <v>245.44154499999999</v>
      </c>
      <c r="N1626">
        <v>3418</v>
      </c>
      <c r="O1626">
        <f t="shared" ca="1" si="164"/>
        <v>1</v>
      </c>
    </row>
    <row r="1627" spans="1:15" x14ac:dyDescent="0.2">
      <c r="A1627" t="str">
        <f ca="1">IFERROR(__xludf.DUMMYFUNCTION("""COMPUTED_VALUE"""),"km")</f>
        <v>km</v>
      </c>
      <c r="B1627" t="str">
        <f ca="1">IFERROR(__xludf.DUMMYFUNCTION("""COMPUTED_VALUE"""),"Model S 60")</f>
        <v>Model S 60</v>
      </c>
      <c r="D1627">
        <f ca="1">IFERROR(__xludf.DUMMYFUNCTION("""COMPUTED_VALUE"""),14995)</f>
        <v>14995</v>
      </c>
      <c r="E1627">
        <f ca="1">IFERROR(__xludf.DUMMYFUNCTION("""COMPUTED_VALUE"""),284)</f>
        <v>284</v>
      </c>
      <c r="F1627">
        <v>284</v>
      </c>
      <c r="G1627">
        <v>1</v>
      </c>
      <c r="H1627">
        <v>9317</v>
      </c>
      <c r="I1627">
        <v>14995</v>
      </c>
      <c r="J1627">
        <v>9317</v>
      </c>
      <c r="K1627">
        <v>0.98992624461818135</v>
      </c>
      <c r="L1627">
        <f t="shared" ca="1" si="162"/>
        <v>176.46936400000001</v>
      </c>
      <c r="M1627">
        <f t="shared" si="163"/>
        <v>176.46936400000001</v>
      </c>
      <c r="N1627">
        <v>9317</v>
      </c>
      <c r="O1627">
        <f t="shared" ca="1" si="164"/>
        <v>1</v>
      </c>
    </row>
    <row r="1628" spans="1:15" x14ac:dyDescent="0.2">
      <c r="A1628" t="str">
        <f ca="1">IFERROR(__xludf.DUMMYFUNCTION("""COMPUTED_VALUE"""),"km")</f>
        <v>km</v>
      </c>
      <c r="B1628" t="str">
        <f ca="1">IFERROR(__xludf.DUMMYFUNCTION("""COMPUTED_VALUE"""),"Model S P85+")</f>
        <v>Model S P85+</v>
      </c>
      <c r="D1628">
        <f ca="1">IFERROR(__xludf.DUMMYFUNCTION("""COMPUTED_VALUE"""),14977)</f>
        <v>14977</v>
      </c>
      <c r="E1628">
        <f ca="1">IFERROR(__xludf.DUMMYFUNCTION("""COMPUTED_VALUE"""),395)</f>
        <v>395</v>
      </c>
      <c r="F1628">
        <v>395</v>
      </c>
      <c r="G1628">
        <v>1</v>
      </c>
      <c r="H1628">
        <v>9306</v>
      </c>
      <c r="I1628">
        <v>14977</v>
      </c>
      <c r="J1628">
        <v>9306</v>
      </c>
      <c r="K1628">
        <v>0.98993809318628467</v>
      </c>
      <c r="L1628">
        <f t="shared" ca="1" si="162"/>
        <v>245.44154499999999</v>
      </c>
      <c r="M1628">
        <f t="shared" si="163"/>
        <v>245.44154499999999</v>
      </c>
      <c r="N1628">
        <v>9306</v>
      </c>
      <c r="O1628">
        <f t="shared" ca="1" si="164"/>
        <v>1</v>
      </c>
    </row>
    <row r="1629" spans="1:15" x14ac:dyDescent="0.2">
      <c r="A1629" t="str">
        <f ca="1">IFERROR(__xludf.DUMMYFUNCTION("""COMPUTED_VALUE"""),"mi")</f>
        <v>mi</v>
      </c>
      <c r="B1629" t="str">
        <f ca="1">IFERROR(__xludf.DUMMYFUNCTION("""COMPUTED_VALUE"""),"Model 3 LR")</f>
        <v>Model 3 LR</v>
      </c>
      <c r="C1629">
        <f ca="1">IFERROR(__xludf.DUMMYFUNCTION("""COMPUTED_VALUE"""),310)</f>
        <v>310</v>
      </c>
      <c r="D1629">
        <f ca="1">IFERROR(__xludf.DUMMYFUNCTION("""COMPUTED_VALUE"""),24635)</f>
        <v>24635</v>
      </c>
      <c r="E1629">
        <f ca="1">IFERROR(__xludf.DUMMYFUNCTION("""COMPUTED_VALUE"""),325)</f>
        <v>325</v>
      </c>
      <c r="F1629">
        <v>325</v>
      </c>
      <c r="G1629">
        <v>1</v>
      </c>
      <c r="H1629">
        <v>24635</v>
      </c>
      <c r="I1629">
        <v>39646</v>
      </c>
      <c r="J1629">
        <v>24635</v>
      </c>
      <c r="K1629">
        <v>0.97425828830689454</v>
      </c>
      <c r="L1629">
        <f ca="1">IFERROR(__xludf.DUMMYFUNCTION("""COMPUTED_VALUE"""),325)</f>
        <v>325</v>
      </c>
      <c r="M1629">
        <v>325</v>
      </c>
      <c r="N1629">
        <v>24635</v>
      </c>
      <c r="O1629">
        <f t="shared" ca="1" si="164"/>
        <v>1</v>
      </c>
    </row>
    <row r="1630" spans="1:15" x14ac:dyDescent="0.2">
      <c r="A1630" t="str">
        <f ca="1">IFERROR(__xludf.DUMMYFUNCTION("""COMPUTED_VALUE"""),"mi")</f>
        <v>mi</v>
      </c>
      <c r="B1630" t="str">
        <f ca="1">IFERROR(__xludf.DUMMYFUNCTION("""COMPUTED_VALUE"""),"Model 3 SR+")</f>
        <v>Model 3 SR+</v>
      </c>
      <c r="C1630">
        <f ca="1">IFERROR(__xludf.DUMMYFUNCTION("""COMPUTED_VALUE"""),240)</f>
        <v>240</v>
      </c>
      <c r="D1630">
        <f ca="1">IFERROR(__xludf.DUMMYFUNCTION("""COMPUTED_VALUE"""),200)</f>
        <v>200</v>
      </c>
      <c r="E1630">
        <f ca="1">IFERROR(__xludf.DUMMYFUNCTION("""COMPUTED_VALUE"""),240)</f>
        <v>240</v>
      </c>
      <c r="F1630">
        <v>240</v>
      </c>
      <c r="G1630">
        <v>1</v>
      </c>
      <c r="H1630">
        <v>200</v>
      </c>
      <c r="I1630">
        <v>322</v>
      </c>
      <c r="J1630">
        <v>200</v>
      </c>
      <c r="K1630">
        <v>0.99977942584098933</v>
      </c>
      <c r="L1630">
        <f ca="1">IFERROR(__xludf.DUMMYFUNCTION("""COMPUTED_VALUE"""),240)</f>
        <v>240</v>
      </c>
      <c r="M1630">
        <v>240</v>
      </c>
      <c r="N1630">
        <v>200</v>
      </c>
      <c r="O1630">
        <f t="shared" ca="1" si="164"/>
        <v>1</v>
      </c>
    </row>
    <row r="1631" spans="1:15" x14ac:dyDescent="0.2">
      <c r="A1631" t="str">
        <f ca="1">IFERROR(__xludf.DUMMYFUNCTION("""COMPUTED_VALUE"""),"mi")</f>
        <v>mi</v>
      </c>
      <c r="B1631" t="str">
        <f ca="1">IFERROR(__xludf.DUMMYFUNCTION("""COMPUTED_VALUE"""),"Model 3 P")</f>
        <v>Model 3 P</v>
      </c>
      <c r="C1631">
        <f ca="1">IFERROR(__xludf.DUMMYFUNCTION("""COMPUTED_VALUE"""),310)</f>
        <v>310</v>
      </c>
      <c r="D1631">
        <f ca="1">IFERROR(__xludf.DUMMYFUNCTION("""COMPUTED_VALUE"""),676)</f>
        <v>676</v>
      </c>
      <c r="E1631">
        <f ca="1">IFERROR(__xludf.DUMMYFUNCTION("""COMPUTED_VALUE"""),310)</f>
        <v>310</v>
      </c>
      <c r="F1631">
        <v>310</v>
      </c>
      <c r="G1631">
        <v>1</v>
      </c>
      <c r="H1631">
        <v>676</v>
      </c>
      <c r="I1631">
        <v>1088</v>
      </c>
      <c r="J1631">
        <v>676</v>
      </c>
      <c r="K1631">
        <v>0.99925545204801969</v>
      </c>
      <c r="L1631">
        <f ca="1">IFERROR(__xludf.DUMMYFUNCTION("""COMPUTED_VALUE"""),310)</f>
        <v>310</v>
      </c>
      <c r="M1631">
        <v>310</v>
      </c>
      <c r="N1631">
        <v>676</v>
      </c>
      <c r="O1631">
        <f t="shared" ca="1" si="164"/>
        <v>1</v>
      </c>
    </row>
    <row r="1632" spans="1:15" x14ac:dyDescent="0.2">
      <c r="A1632" t="str">
        <f ca="1">IFERROR(__xludf.DUMMYFUNCTION("""COMPUTED_VALUE"""),"mi")</f>
        <v>mi</v>
      </c>
      <c r="B1632" t="str">
        <f ca="1">IFERROR(__xludf.DUMMYFUNCTION("""COMPUTED_VALUE"""),"Model 3 P")</f>
        <v>Model 3 P</v>
      </c>
      <c r="C1632">
        <f ca="1">IFERROR(__xludf.DUMMYFUNCTION("""COMPUTED_VALUE"""),310)</f>
        <v>310</v>
      </c>
      <c r="D1632">
        <f ca="1">IFERROR(__xludf.DUMMYFUNCTION("""COMPUTED_VALUE"""),6000)</f>
        <v>6000</v>
      </c>
      <c r="E1632">
        <f ca="1">IFERROR(__xludf.DUMMYFUNCTION("""COMPUTED_VALUE"""),310)</f>
        <v>310</v>
      </c>
      <c r="F1632">
        <v>310</v>
      </c>
      <c r="G1632">
        <v>1</v>
      </c>
      <c r="H1632">
        <v>6000</v>
      </c>
      <c r="I1632">
        <v>9656</v>
      </c>
      <c r="J1632">
        <v>6000</v>
      </c>
      <c r="K1632">
        <v>0.99346646484289303</v>
      </c>
      <c r="L1632">
        <f ca="1">IFERROR(__xludf.DUMMYFUNCTION("""COMPUTED_VALUE"""),310)</f>
        <v>310</v>
      </c>
      <c r="M1632">
        <v>310</v>
      </c>
      <c r="N1632">
        <v>6000</v>
      </c>
      <c r="O1632">
        <f t="shared" ca="1" si="164"/>
        <v>1</v>
      </c>
    </row>
    <row r="1633" spans="1:15" x14ac:dyDescent="0.2">
      <c r="A1633" t="str">
        <f ca="1">IFERROR(__xludf.DUMMYFUNCTION("""COMPUTED_VALUE"""),"mi")</f>
        <v>mi</v>
      </c>
      <c r="B1633" t="str">
        <f ca="1">IFERROR(__xludf.DUMMYFUNCTION("""COMPUTED_VALUE"""),"Model S 85")</f>
        <v>Model S 85</v>
      </c>
      <c r="C1633">
        <f ca="1">IFERROR(__xludf.DUMMYFUNCTION("""COMPUTED_VALUE"""),267)</f>
        <v>267</v>
      </c>
      <c r="D1633">
        <f ca="1">IFERROR(__xludf.DUMMYFUNCTION("""COMPUTED_VALUE"""),20500)</f>
        <v>20500</v>
      </c>
      <c r="E1633">
        <f ca="1">IFERROR(__xludf.DUMMYFUNCTION("""COMPUTED_VALUE"""),266)</f>
        <v>266</v>
      </c>
      <c r="F1633">
        <v>266</v>
      </c>
      <c r="G1633">
        <v>1</v>
      </c>
      <c r="H1633">
        <v>20500</v>
      </c>
      <c r="I1633">
        <v>32992</v>
      </c>
      <c r="J1633">
        <v>20500</v>
      </c>
      <c r="K1633">
        <v>0.97837674675531694</v>
      </c>
      <c r="L1633">
        <f ca="1">IFERROR(__xludf.DUMMYFUNCTION("""COMPUTED_VALUE"""),266)</f>
        <v>266</v>
      </c>
      <c r="M1633">
        <v>266</v>
      </c>
      <c r="N1633">
        <v>20500</v>
      </c>
      <c r="O1633">
        <f t="shared" ca="1" si="164"/>
        <v>1</v>
      </c>
    </row>
    <row r="1634" spans="1:15" x14ac:dyDescent="0.2">
      <c r="A1634" t="str">
        <f ca="1">IFERROR(__xludf.DUMMYFUNCTION("""COMPUTED_VALUE"""),"mi")</f>
        <v>mi</v>
      </c>
      <c r="B1634" t="str">
        <f ca="1">IFERROR(__xludf.DUMMYFUNCTION("""COMPUTED_VALUE"""),"Model X 90D")</f>
        <v>Model X 90D</v>
      </c>
      <c r="C1634">
        <f ca="1">IFERROR(__xludf.DUMMYFUNCTION("""COMPUTED_VALUE"""),259)</f>
        <v>259</v>
      </c>
      <c r="D1634">
        <f ca="1">IFERROR(__xludf.DUMMYFUNCTION("""COMPUTED_VALUE"""),14391)</f>
        <v>14391</v>
      </c>
      <c r="E1634">
        <f ca="1">IFERROR(__xludf.DUMMYFUNCTION("""COMPUTED_VALUE"""),257)</f>
        <v>257</v>
      </c>
      <c r="F1634">
        <v>257</v>
      </c>
      <c r="G1634">
        <v>1</v>
      </c>
      <c r="H1634">
        <v>14391</v>
      </c>
      <c r="I1634">
        <v>23160</v>
      </c>
      <c r="J1634">
        <v>14391</v>
      </c>
      <c r="K1634">
        <v>0.98461259975228477</v>
      </c>
      <c r="L1634">
        <f ca="1">IFERROR(__xludf.DUMMYFUNCTION("""COMPUTED_VALUE"""),257)</f>
        <v>257</v>
      </c>
      <c r="M1634">
        <v>257</v>
      </c>
      <c r="N1634">
        <v>14391</v>
      </c>
      <c r="O1634">
        <f t="shared" ca="1" si="164"/>
        <v>1</v>
      </c>
    </row>
    <row r="1635" spans="1:15" x14ac:dyDescent="0.2">
      <c r="A1635" t="str">
        <f ca="1">IFERROR(__xludf.DUMMYFUNCTION("""COMPUTED_VALUE"""),"mi")</f>
        <v>mi</v>
      </c>
      <c r="B1635" t="str">
        <f ca="1">IFERROR(__xludf.DUMMYFUNCTION("""COMPUTED_VALUE"""),"Model S 60D")</f>
        <v>Model S 60D</v>
      </c>
      <c r="C1635">
        <f ca="1">IFERROR(__xludf.DUMMYFUNCTION("""COMPUTED_VALUE"""),219)</f>
        <v>219</v>
      </c>
      <c r="D1635">
        <f ca="1">IFERROR(__xludf.DUMMYFUNCTION("""COMPUTED_VALUE"""),5420)</f>
        <v>5420</v>
      </c>
      <c r="E1635">
        <f ca="1">IFERROR(__xludf.DUMMYFUNCTION("""COMPUTED_VALUE"""),219)</f>
        <v>219</v>
      </c>
      <c r="F1635">
        <v>219</v>
      </c>
      <c r="G1635">
        <v>1</v>
      </c>
      <c r="H1635">
        <v>5420</v>
      </c>
      <c r="I1635">
        <v>8723</v>
      </c>
      <c r="J1635">
        <v>5420</v>
      </c>
      <c r="K1635">
        <v>0.99409042730286246</v>
      </c>
      <c r="L1635">
        <f ca="1">IFERROR(__xludf.DUMMYFUNCTION("""COMPUTED_VALUE"""),219)</f>
        <v>219</v>
      </c>
      <c r="M1635">
        <v>219</v>
      </c>
      <c r="N1635">
        <v>5420</v>
      </c>
      <c r="O1635">
        <f t="shared" ca="1" si="164"/>
        <v>1</v>
      </c>
    </row>
    <row r="1636" spans="1:15" x14ac:dyDescent="0.2">
      <c r="A1636" t="str">
        <f ca="1">IFERROR(__xludf.DUMMYFUNCTION("""COMPUTED_VALUE"""),"mi")</f>
        <v>mi</v>
      </c>
      <c r="B1636" t="str">
        <f ca="1">IFERROR(__xludf.DUMMYFUNCTION("""COMPUTED_VALUE"""),"Model S 60")</f>
        <v>Model S 60</v>
      </c>
      <c r="C1636">
        <f ca="1">IFERROR(__xludf.DUMMYFUNCTION("""COMPUTED_VALUE"""),210)</f>
        <v>210</v>
      </c>
      <c r="D1636">
        <f ca="1">IFERROR(__xludf.DUMMYFUNCTION("""COMPUTED_VALUE"""),11104)</f>
        <v>11104</v>
      </c>
      <c r="E1636">
        <f ca="1">IFERROR(__xludf.DUMMYFUNCTION("""COMPUTED_VALUE"""),207)</f>
        <v>207</v>
      </c>
      <c r="F1636">
        <v>207</v>
      </c>
      <c r="G1636">
        <v>1</v>
      </c>
      <c r="H1636">
        <v>11104</v>
      </c>
      <c r="I1636">
        <v>17870</v>
      </c>
      <c r="J1636">
        <v>11104</v>
      </c>
      <c r="K1636">
        <v>0.98804134304347202</v>
      </c>
      <c r="L1636">
        <f ca="1">IFERROR(__xludf.DUMMYFUNCTION("""COMPUTED_VALUE"""),207)</f>
        <v>207</v>
      </c>
      <c r="M1636">
        <v>207</v>
      </c>
      <c r="N1636">
        <v>11104</v>
      </c>
      <c r="O1636">
        <f t="shared" ca="1" si="164"/>
        <v>1</v>
      </c>
    </row>
    <row r="1637" spans="1:15" x14ac:dyDescent="0.2">
      <c r="A1637" t="str">
        <f ca="1">IFERROR(__xludf.DUMMYFUNCTION("""COMPUTED_VALUE"""),"mi")</f>
        <v>mi</v>
      </c>
      <c r="B1637" t="str">
        <f ca="1">IFERROR(__xludf.DUMMYFUNCTION("""COMPUTED_VALUE"""),"Model S 90D 2015")</f>
        <v>Model S 90D 2015</v>
      </c>
      <c r="C1637">
        <f ca="1">IFERROR(__xludf.DUMMYFUNCTION("""COMPUTED_VALUE"""),282)</f>
        <v>282</v>
      </c>
      <c r="D1637">
        <f ca="1">IFERROR(__xludf.DUMMYFUNCTION("""COMPUTED_VALUE"""),4935)</f>
        <v>4935</v>
      </c>
      <c r="E1637">
        <f ca="1">IFERROR(__xludf.DUMMYFUNCTION("""COMPUTED_VALUE"""),277)</f>
        <v>277</v>
      </c>
      <c r="F1637">
        <v>277</v>
      </c>
      <c r="G1637">
        <v>1</v>
      </c>
      <c r="H1637">
        <v>4935</v>
      </c>
      <c r="I1637">
        <v>7942</v>
      </c>
      <c r="J1637">
        <v>4935</v>
      </c>
      <c r="K1637">
        <v>0.99461394646572066</v>
      </c>
      <c r="L1637">
        <f ca="1">IFERROR(__xludf.DUMMYFUNCTION("""COMPUTED_VALUE"""),277)</f>
        <v>277</v>
      </c>
      <c r="M1637">
        <v>277</v>
      </c>
      <c r="N1637">
        <v>4935</v>
      </c>
      <c r="O1637">
        <f t="shared" ca="1" si="164"/>
        <v>1</v>
      </c>
    </row>
    <row r="1638" spans="1:15" x14ac:dyDescent="0.2">
      <c r="A1638" t="str">
        <f ca="1">IFERROR(__xludf.DUMMYFUNCTION("""COMPUTED_VALUE"""),"mi")</f>
        <v>mi</v>
      </c>
      <c r="B1638" t="str">
        <f ca="1">IFERROR(__xludf.DUMMYFUNCTION("""COMPUTED_VALUE"""),"Model S 85D")</f>
        <v>Model S 85D</v>
      </c>
      <c r="D1638">
        <f ca="1">IFERROR(__xludf.DUMMYFUNCTION("""COMPUTED_VALUE"""),400)</f>
        <v>400</v>
      </c>
      <c r="E1638">
        <f ca="1">IFERROR(__xludf.DUMMYFUNCTION("""COMPUTED_VALUE"""),270)</f>
        <v>270</v>
      </c>
      <c r="F1638">
        <v>270</v>
      </c>
      <c r="G1638">
        <v>1</v>
      </c>
      <c r="H1638">
        <v>400</v>
      </c>
      <c r="I1638">
        <v>644</v>
      </c>
      <c r="J1638">
        <v>400</v>
      </c>
      <c r="K1638">
        <v>0.99955903729507323</v>
      </c>
      <c r="L1638">
        <f ca="1">IFERROR(__xludf.DUMMYFUNCTION("""COMPUTED_VALUE"""),270)</f>
        <v>270</v>
      </c>
      <c r="M1638">
        <v>270</v>
      </c>
      <c r="N1638">
        <v>400</v>
      </c>
      <c r="O1638">
        <f t="shared" ca="1" si="164"/>
        <v>1</v>
      </c>
    </row>
    <row r="1639" spans="1:15" x14ac:dyDescent="0.2">
      <c r="A1639" t="str">
        <f ca="1">IFERROR(__xludf.DUMMYFUNCTION("""COMPUTED_VALUE"""),"mi")</f>
        <v>mi</v>
      </c>
      <c r="B1639" t="str">
        <f ca="1">IFERROR(__xludf.DUMMYFUNCTION("""COMPUTED_VALUE"""),"Model S 70D")</f>
        <v>Model S 70D</v>
      </c>
      <c r="D1639">
        <f ca="1">IFERROR(__xludf.DUMMYFUNCTION("""COMPUTED_VALUE"""),50)</f>
        <v>50</v>
      </c>
      <c r="E1639">
        <f ca="1">IFERROR(__xludf.DUMMYFUNCTION("""COMPUTED_VALUE"""),240)</f>
        <v>240</v>
      </c>
      <c r="F1639">
        <v>240</v>
      </c>
      <c r="G1639">
        <v>1</v>
      </c>
      <c r="H1639">
        <v>50</v>
      </c>
      <c r="I1639">
        <v>80</v>
      </c>
      <c r="J1639">
        <v>50</v>
      </c>
      <c r="K1639">
        <v>0.99994518164145485</v>
      </c>
      <c r="L1639">
        <f ca="1">IFERROR(__xludf.DUMMYFUNCTION("""COMPUTED_VALUE"""),240)</f>
        <v>240</v>
      </c>
      <c r="M1639">
        <v>240</v>
      </c>
      <c r="N1639">
        <v>50</v>
      </c>
      <c r="O1639">
        <f t="shared" ca="1" si="164"/>
        <v>1</v>
      </c>
    </row>
    <row r="1640" spans="1:15" x14ac:dyDescent="0.2">
      <c r="A1640" t="str">
        <f ca="1">IFERROR(__xludf.DUMMYFUNCTION("""COMPUTED_VALUE"""),"mi")</f>
        <v>mi</v>
      </c>
      <c r="B1640" t="str">
        <f ca="1">IFERROR(__xludf.DUMMYFUNCTION("""COMPUTED_VALUE"""),"Model S P85D")</f>
        <v>Model S P85D</v>
      </c>
      <c r="D1640">
        <f ca="1">IFERROR(__xludf.DUMMYFUNCTION("""COMPUTED_VALUE"""),1061)</f>
        <v>1061</v>
      </c>
      <c r="E1640">
        <f ca="1">IFERROR(__xludf.DUMMYFUNCTION("""COMPUTED_VALUE"""),253)</f>
        <v>253</v>
      </c>
      <c r="F1640">
        <v>253</v>
      </c>
      <c r="G1640">
        <v>1</v>
      </c>
      <c r="H1640">
        <v>1061</v>
      </c>
      <c r="I1640">
        <v>1708</v>
      </c>
      <c r="J1640">
        <v>1061</v>
      </c>
      <c r="K1640">
        <v>0.99883211772934422</v>
      </c>
      <c r="L1640">
        <f ca="1">IFERROR(__xludf.DUMMYFUNCTION("""COMPUTED_VALUE"""),253)</f>
        <v>253</v>
      </c>
      <c r="M1640">
        <v>253</v>
      </c>
      <c r="N1640">
        <v>1061</v>
      </c>
      <c r="O1640">
        <f t="shared" ca="1" si="164"/>
        <v>1</v>
      </c>
    </row>
    <row r="1641" spans="1:15" x14ac:dyDescent="0.2">
      <c r="A1641" t="str">
        <f ca="1">IFERROR(__xludf.DUMMYFUNCTION("""COMPUTED_VALUE"""),"mi")</f>
        <v>mi</v>
      </c>
      <c r="B1641" t="str">
        <f ca="1">IFERROR(__xludf.DUMMYFUNCTION("""COMPUTED_VALUE"""),"Model S P85D")</f>
        <v>Model S P85D</v>
      </c>
      <c r="C1641">
        <f ca="1">IFERROR(__xludf.DUMMYFUNCTION("""COMPUTED_VALUE"""),256)</f>
        <v>256</v>
      </c>
      <c r="D1641">
        <f ca="1">IFERROR(__xludf.DUMMYFUNCTION("""COMPUTED_VALUE"""),9432)</f>
        <v>9432</v>
      </c>
      <c r="E1641">
        <f ca="1">IFERROR(__xludf.DUMMYFUNCTION("""COMPUTED_VALUE"""),253)</f>
        <v>253</v>
      </c>
      <c r="F1641">
        <v>253</v>
      </c>
      <c r="G1641">
        <v>1</v>
      </c>
      <c r="H1641">
        <v>9432</v>
      </c>
      <c r="I1641">
        <v>15179</v>
      </c>
      <c r="J1641">
        <v>9432</v>
      </c>
      <c r="K1641">
        <v>0.98980515975171213</v>
      </c>
      <c r="L1641">
        <f ca="1">IFERROR(__xludf.DUMMYFUNCTION("""COMPUTED_VALUE"""),253)</f>
        <v>253</v>
      </c>
      <c r="M1641">
        <v>253</v>
      </c>
      <c r="N1641">
        <v>9432</v>
      </c>
      <c r="O1641">
        <f t="shared" ca="1" si="164"/>
        <v>1</v>
      </c>
    </row>
    <row r="1642" spans="1:15" x14ac:dyDescent="0.2">
      <c r="A1642" t="str">
        <f ca="1">IFERROR(__xludf.DUMMYFUNCTION("""COMPUTED_VALUE"""),"km")</f>
        <v>km</v>
      </c>
      <c r="B1642" t="str">
        <f ca="1">IFERROR(__xludf.DUMMYFUNCTION("""COMPUTED_VALUE"""),"Model 3 LR AWD")</f>
        <v>Model 3 LR AWD</v>
      </c>
      <c r="C1642">
        <f ca="1">IFERROR(__xludf.DUMMYFUNCTION("""COMPUTED_VALUE"""),498)</f>
        <v>498</v>
      </c>
      <c r="D1642">
        <f ca="1">IFERROR(__xludf.DUMMYFUNCTION("""COMPUTED_VALUE"""),1800)</f>
        <v>1800</v>
      </c>
      <c r="E1642">
        <f ca="1">IFERROR(__xludf.DUMMYFUNCTION("""COMPUTED_VALUE"""),500)</f>
        <v>500</v>
      </c>
      <c r="F1642">
        <v>499</v>
      </c>
      <c r="G1642">
        <v>1.002004008016032</v>
      </c>
      <c r="H1642">
        <v>1118</v>
      </c>
      <c r="I1642">
        <v>1800</v>
      </c>
      <c r="J1642">
        <v>1118</v>
      </c>
      <c r="K1642">
        <v>0.99876935909143039</v>
      </c>
      <c r="L1642">
        <f t="shared" ref="L1642:L1663" ca="1" si="165">E1642*0.621371</f>
        <v>310.68549999999999</v>
      </c>
      <c r="M1642">
        <f t="shared" ref="M1642:M1663" si="166">F1642*0.621371</f>
        <v>310.06412899999998</v>
      </c>
      <c r="N1642">
        <v>1118</v>
      </c>
      <c r="O1642">
        <f t="shared" ca="1" si="164"/>
        <v>1.0020040080160322</v>
      </c>
    </row>
    <row r="1643" spans="1:15" x14ac:dyDescent="0.2">
      <c r="A1643" t="str">
        <f ca="1">IFERROR(__xludf.DUMMYFUNCTION("""COMPUTED_VALUE"""),"km")</f>
        <v>km</v>
      </c>
      <c r="B1643" t="str">
        <f ca="1">IFERROR(__xludf.DUMMYFUNCTION("""COMPUTED_VALUE"""),"Model 3 LR AWD")</f>
        <v>Model 3 LR AWD</v>
      </c>
      <c r="C1643">
        <f ca="1">IFERROR(__xludf.DUMMYFUNCTION("""COMPUTED_VALUE"""),500)</f>
        <v>500</v>
      </c>
      <c r="D1643">
        <f ca="1">IFERROR(__xludf.DUMMYFUNCTION("""COMPUTED_VALUE"""),21820)</f>
        <v>21820</v>
      </c>
      <c r="E1643">
        <f ca="1">IFERROR(__xludf.DUMMYFUNCTION("""COMPUTED_VALUE"""),500)</f>
        <v>500</v>
      </c>
      <c r="F1643">
        <v>499</v>
      </c>
      <c r="G1643">
        <v>1.002004008016032</v>
      </c>
      <c r="H1643">
        <v>13558</v>
      </c>
      <c r="I1643">
        <v>21820</v>
      </c>
      <c r="J1643">
        <v>13558</v>
      </c>
      <c r="K1643">
        <v>0.98547627831666229</v>
      </c>
      <c r="L1643">
        <f t="shared" ca="1" si="165"/>
        <v>310.68549999999999</v>
      </c>
      <c r="M1643">
        <f t="shared" si="166"/>
        <v>310.06412899999998</v>
      </c>
      <c r="N1643">
        <v>13558</v>
      </c>
      <c r="O1643">
        <f t="shared" ca="1" si="164"/>
        <v>1.0020040080160322</v>
      </c>
    </row>
    <row r="1644" spans="1:15" x14ac:dyDescent="0.2">
      <c r="A1644" t="str">
        <f ca="1">IFERROR(__xludf.DUMMYFUNCTION("""COMPUTED_VALUE"""),"km")</f>
        <v>km</v>
      </c>
      <c r="B1644" t="str">
        <f ca="1">IFERROR(__xludf.DUMMYFUNCTION("""COMPUTED_VALUE"""),"Model S P100D")</f>
        <v>Model S P100D</v>
      </c>
      <c r="C1644">
        <f ca="1">IFERROR(__xludf.DUMMYFUNCTION("""COMPUTED_VALUE"""),488)</f>
        <v>488</v>
      </c>
      <c r="D1644">
        <f ca="1">IFERROR(__xludf.DUMMYFUNCTION("""COMPUTED_VALUE"""),9695)</f>
        <v>9695</v>
      </c>
      <c r="E1644">
        <f ca="1">IFERROR(__xludf.DUMMYFUNCTION("""COMPUTED_VALUE"""),484)</f>
        <v>484</v>
      </c>
      <c r="F1644">
        <v>483</v>
      </c>
      <c r="G1644">
        <v>1.0020703933747412</v>
      </c>
      <c r="H1644">
        <v>6024</v>
      </c>
      <c r="I1644">
        <v>9695</v>
      </c>
      <c r="J1644">
        <v>6024</v>
      </c>
      <c r="K1644">
        <v>0.99344041709177555</v>
      </c>
      <c r="L1644">
        <f t="shared" ca="1" si="165"/>
        <v>300.74356399999999</v>
      </c>
      <c r="M1644">
        <f t="shared" si="166"/>
        <v>300.12219299999998</v>
      </c>
      <c r="N1644">
        <v>6024</v>
      </c>
      <c r="O1644">
        <f t="shared" ca="1" si="164"/>
        <v>1.0020703933747412</v>
      </c>
    </row>
    <row r="1645" spans="1:15" x14ac:dyDescent="0.2">
      <c r="A1645" t="str">
        <f ca="1">IFERROR(__xludf.DUMMYFUNCTION("""COMPUTED_VALUE"""),"km")</f>
        <v>km</v>
      </c>
      <c r="B1645" t="str">
        <f ca="1">IFERROR(__xludf.DUMMYFUNCTION("""COMPUTED_VALUE"""),"Model S 90D")</f>
        <v>Model S 90D</v>
      </c>
      <c r="C1645">
        <f ca="1">IFERROR(__xludf.DUMMYFUNCTION("""COMPUTED_VALUE"""),448)</f>
        <v>448</v>
      </c>
      <c r="D1645">
        <f ca="1">IFERROR(__xludf.DUMMYFUNCTION("""COMPUTED_VALUE"""),605)</f>
        <v>605</v>
      </c>
      <c r="E1645">
        <f ca="1">IFERROR(__xludf.DUMMYFUNCTION("""COMPUTED_VALUE"""),448)</f>
        <v>448</v>
      </c>
      <c r="F1645">
        <v>447</v>
      </c>
      <c r="G1645">
        <v>1.0022371364653244</v>
      </c>
      <c r="H1645">
        <v>376</v>
      </c>
      <c r="I1645">
        <v>605</v>
      </c>
      <c r="J1645">
        <v>376</v>
      </c>
      <c r="K1645">
        <v>0.9995857204363412</v>
      </c>
      <c r="L1645">
        <f t="shared" ca="1" si="165"/>
        <v>278.37420800000001</v>
      </c>
      <c r="M1645">
        <f t="shared" si="166"/>
        <v>277.752837</v>
      </c>
      <c r="N1645">
        <v>376</v>
      </c>
      <c r="O1645">
        <f t="shared" ca="1" si="164"/>
        <v>1.0022371364653244</v>
      </c>
    </row>
    <row r="1646" spans="1:15" x14ac:dyDescent="0.2">
      <c r="A1646" t="str">
        <f ca="1">IFERROR(__xludf.DUMMYFUNCTION("""COMPUTED_VALUE"""),"km")</f>
        <v>km</v>
      </c>
      <c r="B1646" t="str">
        <f ca="1">IFERROR(__xludf.DUMMYFUNCTION("""COMPUTED_VALUE"""),"Model S 90D")</f>
        <v>Model S 90D</v>
      </c>
      <c r="D1646">
        <f ca="1">IFERROR(__xludf.DUMMYFUNCTION("""COMPUTED_VALUE"""),17966)</f>
        <v>17966</v>
      </c>
      <c r="E1646">
        <f ca="1">IFERROR(__xludf.DUMMYFUNCTION("""COMPUTED_VALUE"""),448)</f>
        <v>448</v>
      </c>
      <c r="F1646">
        <v>447</v>
      </c>
      <c r="G1646">
        <v>1.0022371364653244</v>
      </c>
      <c r="H1646">
        <v>11164</v>
      </c>
      <c r="I1646">
        <v>17966</v>
      </c>
      <c r="J1646">
        <v>11164</v>
      </c>
      <c r="K1646">
        <v>0.98797866387891431</v>
      </c>
      <c r="L1646">
        <f t="shared" ca="1" si="165"/>
        <v>278.37420800000001</v>
      </c>
      <c r="M1646">
        <f t="shared" si="166"/>
        <v>277.752837</v>
      </c>
      <c r="N1646">
        <v>11164</v>
      </c>
      <c r="O1646">
        <f t="shared" ca="1" si="164"/>
        <v>1.0022371364653244</v>
      </c>
    </row>
    <row r="1647" spans="1:15" x14ac:dyDescent="0.2">
      <c r="A1647" t="str">
        <f ca="1">IFERROR(__xludf.DUMMYFUNCTION("""COMPUTED_VALUE"""),"km")</f>
        <v>km</v>
      </c>
      <c r="B1647" t="str">
        <f ca="1">IFERROR(__xludf.DUMMYFUNCTION("""COMPUTED_VALUE"""),"Model S 90D")</f>
        <v>Model S 90D</v>
      </c>
      <c r="C1647">
        <f ca="1">IFERROR(__xludf.DUMMYFUNCTION("""COMPUTED_VALUE"""),448)</f>
        <v>448</v>
      </c>
      <c r="D1647">
        <f ca="1">IFERROR(__xludf.DUMMYFUNCTION("""COMPUTED_VALUE"""),7133)</f>
        <v>7133</v>
      </c>
      <c r="E1647">
        <f ca="1">IFERROR(__xludf.DUMMYFUNCTION("""COMPUTED_VALUE"""),448)</f>
        <v>448</v>
      </c>
      <c r="F1647">
        <v>447</v>
      </c>
      <c r="G1647">
        <v>1.0022371364653244</v>
      </c>
      <c r="H1647">
        <v>4432</v>
      </c>
      <c r="I1647">
        <v>7133</v>
      </c>
      <c r="J1647">
        <v>4432</v>
      </c>
      <c r="K1647">
        <v>0.99515739591677033</v>
      </c>
      <c r="L1647">
        <f t="shared" ca="1" si="165"/>
        <v>278.37420800000001</v>
      </c>
      <c r="M1647">
        <f t="shared" si="166"/>
        <v>277.752837</v>
      </c>
      <c r="N1647">
        <v>4432</v>
      </c>
      <c r="O1647">
        <f t="shared" ca="1" si="164"/>
        <v>1.0022371364653244</v>
      </c>
    </row>
    <row r="1648" spans="1:15" x14ac:dyDescent="0.2">
      <c r="A1648" t="str">
        <f ca="1">IFERROR(__xludf.DUMMYFUNCTION("""COMPUTED_VALUE"""),"km")</f>
        <v>km</v>
      </c>
      <c r="B1648" t="str">
        <f ca="1">IFERROR(__xludf.DUMMYFUNCTION("""COMPUTED_VALUE"""),"Model S 90D")</f>
        <v>Model S 90D</v>
      </c>
      <c r="C1648">
        <f ca="1">IFERROR(__xludf.DUMMYFUNCTION("""COMPUTED_VALUE"""),448)</f>
        <v>448</v>
      </c>
      <c r="D1648">
        <f ca="1">IFERROR(__xludf.DUMMYFUNCTION("""COMPUTED_VALUE"""),2062)</f>
        <v>2062</v>
      </c>
      <c r="E1648">
        <f ca="1">IFERROR(__xludf.DUMMYFUNCTION("""COMPUTED_VALUE"""),448)</f>
        <v>448</v>
      </c>
      <c r="F1648">
        <v>447</v>
      </c>
      <c r="G1648">
        <v>1.0022371364653244</v>
      </c>
      <c r="H1648">
        <v>1281</v>
      </c>
      <c r="I1648">
        <v>2062</v>
      </c>
      <c r="J1648">
        <v>1281</v>
      </c>
      <c r="K1648">
        <v>0.99859071656780851</v>
      </c>
      <c r="L1648">
        <f t="shared" ca="1" si="165"/>
        <v>278.37420800000001</v>
      </c>
      <c r="M1648">
        <f t="shared" si="166"/>
        <v>277.752837</v>
      </c>
      <c r="N1648">
        <v>1281</v>
      </c>
      <c r="O1648">
        <f t="shared" ca="1" si="164"/>
        <v>1.0022371364653244</v>
      </c>
    </row>
    <row r="1649" spans="1:15" x14ac:dyDescent="0.2">
      <c r="A1649" t="str">
        <f ca="1">IFERROR(__xludf.DUMMYFUNCTION("""COMPUTED_VALUE"""),"km")</f>
        <v>km</v>
      </c>
      <c r="B1649" t="str">
        <f ca="1">IFERROR(__xludf.DUMMYFUNCTION("""COMPUTED_VALUE"""),"Model S 85D")</f>
        <v>Model S 85D</v>
      </c>
      <c r="C1649">
        <f ca="1">IFERROR(__xludf.DUMMYFUNCTION("""COMPUTED_VALUE"""),426)</f>
        <v>426</v>
      </c>
      <c r="D1649">
        <f ca="1">IFERROR(__xludf.DUMMYFUNCTION("""COMPUTED_VALUE"""),370)</f>
        <v>370</v>
      </c>
      <c r="E1649">
        <f ca="1">IFERROR(__xludf.DUMMYFUNCTION("""COMPUTED_VALUE"""),426)</f>
        <v>426</v>
      </c>
      <c r="F1649">
        <v>425</v>
      </c>
      <c r="G1649">
        <v>1.0023529411764707</v>
      </c>
      <c r="H1649">
        <v>230</v>
      </c>
      <c r="I1649">
        <v>370</v>
      </c>
      <c r="J1649">
        <v>230</v>
      </c>
      <c r="K1649">
        <v>0.99974656111616866</v>
      </c>
      <c r="L1649">
        <f t="shared" ca="1" si="165"/>
        <v>264.70404600000001</v>
      </c>
      <c r="M1649">
        <f t="shared" si="166"/>
        <v>264.08267499999999</v>
      </c>
      <c r="N1649">
        <v>230</v>
      </c>
      <c r="O1649">
        <f t="shared" ca="1" si="164"/>
        <v>1.0023529411764707</v>
      </c>
    </row>
    <row r="1650" spans="1:15" x14ac:dyDescent="0.2">
      <c r="A1650" t="str">
        <f ca="1">IFERROR(__xludf.DUMMYFUNCTION("""COMPUTED_VALUE"""),"km")</f>
        <v>km</v>
      </c>
      <c r="B1650" t="str">
        <f ca="1">IFERROR(__xludf.DUMMYFUNCTION("""COMPUTED_VALUE"""),"Model S P85D")</f>
        <v>Model S P85D</v>
      </c>
      <c r="C1650">
        <f ca="1">IFERROR(__xludf.DUMMYFUNCTION("""COMPUTED_VALUE"""),408)</f>
        <v>408</v>
      </c>
      <c r="D1650">
        <f ca="1">IFERROR(__xludf.DUMMYFUNCTION("""COMPUTED_VALUE"""),19985)</f>
        <v>19985</v>
      </c>
      <c r="E1650">
        <f ca="1">IFERROR(__xludf.DUMMYFUNCTION("""COMPUTED_VALUE"""),408)</f>
        <v>408</v>
      </c>
      <c r="F1650">
        <v>407</v>
      </c>
      <c r="G1650">
        <v>1.0024570024570025</v>
      </c>
      <c r="H1650">
        <v>12418</v>
      </c>
      <c r="I1650">
        <v>19985</v>
      </c>
      <c r="J1650">
        <v>12418</v>
      </c>
      <c r="K1650">
        <v>0.98666434507768597</v>
      </c>
      <c r="L1650">
        <f t="shared" ca="1" si="165"/>
        <v>253.51936800000001</v>
      </c>
      <c r="M1650">
        <f t="shared" si="166"/>
        <v>252.897997</v>
      </c>
      <c r="N1650">
        <v>12418</v>
      </c>
      <c r="O1650">
        <f t="shared" ca="1" si="164"/>
        <v>1.0024570024570025</v>
      </c>
    </row>
    <row r="1651" spans="1:15" x14ac:dyDescent="0.2">
      <c r="A1651" t="str">
        <f ca="1">IFERROR(__xludf.DUMMYFUNCTION("""COMPUTED_VALUE"""),"km")</f>
        <v>km</v>
      </c>
      <c r="B1651" t="str">
        <f ca="1">IFERROR(__xludf.DUMMYFUNCTION("""COMPUTED_VALUE"""),"Model S P85D")</f>
        <v>Model S P85D</v>
      </c>
      <c r="D1651">
        <f ca="1">IFERROR(__xludf.DUMMYFUNCTION("""COMPUTED_VALUE"""),317)</f>
        <v>317</v>
      </c>
      <c r="E1651">
        <f ca="1">IFERROR(__xludf.DUMMYFUNCTION("""COMPUTED_VALUE"""),404)</f>
        <v>404</v>
      </c>
      <c r="F1651">
        <v>403</v>
      </c>
      <c r="G1651">
        <v>1.0024813895781637</v>
      </c>
      <c r="H1651">
        <v>197</v>
      </c>
      <c r="I1651">
        <v>317</v>
      </c>
      <c r="J1651">
        <v>197</v>
      </c>
      <c r="K1651">
        <v>0.99978284948702789</v>
      </c>
      <c r="L1651">
        <f t="shared" ca="1" si="165"/>
        <v>251.033884</v>
      </c>
      <c r="M1651">
        <f t="shared" si="166"/>
        <v>250.41251299999999</v>
      </c>
      <c r="N1651">
        <v>197</v>
      </c>
      <c r="O1651">
        <f t="shared" ca="1" si="164"/>
        <v>1.0024813895781639</v>
      </c>
    </row>
    <row r="1652" spans="1:15" x14ac:dyDescent="0.2">
      <c r="A1652" t="str">
        <f ca="1">IFERROR(__xludf.DUMMYFUNCTION("""COMPUTED_VALUE"""),"km")</f>
        <v>km</v>
      </c>
      <c r="B1652" t="str">
        <f ca="1">IFERROR(__xludf.DUMMYFUNCTION("""COMPUTED_VALUE"""),"Model S 85")</f>
        <v>Model S 85</v>
      </c>
      <c r="D1652">
        <f ca="1">IFERROR(__xludf.DUMMYFUNCTION("""COMPUTED_VALUE"""),24950)</f>
        <v>24950</v>
      </c>
      <c r="E1652">
        <f ca="1">IFERROR(__xludf.DUMMYFUNCTION("""COMPUTED_VALUE"""),396)</f>
        <v>396</v>
      </c>
      <c r="F1652">
        <v>395</v>
      </c>
      <c r="G1652">
        <v>1.0025316455696203</v>
      </c>
      <c r="H1652">
        <v>15503</v>
      </c>
      <c r="I1652">
        <v>24950</v>
      </c>
      <c r="J1652">
        <v>15503</v>
      </c>
      <c r="K1652">
        <v>0.98346402741034555</v>
      </c>
      <c r="L1652">
        <f t="shared" ca="1" si="165"/>
        <v>246.062916</v>
      </c>
      <c r="M1652">
        <f t="shared" si="166"/>
        <v>245.44154499999999</v>
      </c>
      <c r="N1652">
        <v>15503</v>
      </c>
      <c r="O1652">
        <f t="shared" ca="1" si="164"/>
        <v>1.0025316455696203</v>
      </c>
    </row>
    <row r="1653" spans="1:15" x14ac:dyDescent="0.2">
      <c r="A1653" t="str">
        <f ca="1">IFERROR(__xludf.DUMMYFUNCTION("""COMPUTED_VALUE"""),"km")</f>
        <v>km</v>
      </c>
      <c r="B1653" t="str">
        <f ca="1">IFERROR(__xludf.DUMMYFUNCTION("""COMPUTED_VALUE"""),"Model S 85")</f>
        <v>Model S 85</v>
      </c>
      <c r="D1653">
        <f ca="1">IFERROR(__xludf.DUMMYFUNCTION("""COMPUTED_VALUE"""),8452)</f>
        <v>8452</v>
      </c>
      <c r="E1653">
        <f ca="1">IFERROR(__xludf.DUMMYFUNCTION("""COMPUTED_VALUE"""),396)</f>
        <v>396</v>
      </c>
      <c r="F1653">
        <v>395</v>
      </c>
      <c r="G1653">
        <v>1.0025316455696203</v>
      </c>
      <c r="H1653">
        <v>5252</v>
      </c>
      <c r="I1653">
        <v>8452</v>
      </c>
      <c r="J1653">
        <v>5252</v>
      </c>
      <c r="K1653">
        <v>0.99427195891383302</v>
      </c>
      <c r="L1653">
        <f t="shared" ca="1" si="165"/>
        <v>246.062916</v>
      </c>
      <c r="M1653">
        <f t="shared" si="166"/>
        <v>245.44154499999999</v>
      </c>
      <c r="N1653">
        <v>5252</v>
      </c>
      <c r="O1653">
        <f t="shared" ca="1" si="164"/>
        <v>1.0025316455696203</v>
      </c>
    </row>
    <row r="1654" spans="1:15" x14ac:dyDescent="0.2">
      <c r="A1654" t="str">
        <f ca="1">IFERROR(__xludf.DUMMYFUNCTION("""COMPUTED_VALUE"""),"km")</f>
        <v>km</v>
      </c>
      <c r="B1654" t="str">
        <f ca="1">IFERROR(__xludf.DUMMYFUNCTION("""COMPUTED_VALUE"""),"Model S 75D")</f>
        <v>Model S 75D</v>
      </c>
      <c r="C1654">
        <f ca="1">IFERROR(__xludf.DUMMYFUNCTION("""COMPUTED_VALUE"""),393)</f>
        <v>393</v>
      </c>
      <c r="D1654">
        <f ca="1">IFERROR(__xludf.DUMMYFUNCTION("""COMPUTED_VALUE"""),40000)</f>
        <v>40000</v>
      </c>
      <c r="E1654">
        <f ca="1">IFERROR(__xludf.DUMMYFUNCTION("""COMPUTED_VALUE"""),385)</f>
        <v>385</v>
      </c>
      <c r="F1654">
        <v>384</v>
      </c>
      <c r="G1654">
        <v>1.0026041666666667</v>
      </c>
      <c r="H1654">
        <v>24855</v>
      </c>
      <c r="I1654">
        <v>40000</v>
      </c>
      <c r="J1654">
        <v>24855</v>
      </c>
      <c r="K1654">
        <v>0.97404149828964304</v>
      </c>
      <c r="L1654">
        <f t="shared" ca="1" si="165"/>
        <v>239.227835</v>
      </c>
      <c r="M1654">
        <f t="shared" si="166"/>
        <v>238.60646400000002</v>
      </c>
      <c r="N1654">
        <v>24855</v>
      </c>
      <c r="O1654">
        <f t="shared" ca="1" si="164"/>
        <v>1.0026041666666665</v>
      </c>
    </row>
    <row r="1655" spans="1:15" x14ac:dyDescent="0.2">
      <c r="A1655" t="str">
        <f ca="1">IFERROR(__xludf.DUMMYFUNCTION("""COMPUTED_VALUE"""),"km")</f>
        <v>km</v>
      </c>
      <c r="B1655" t="str">
        <f ca="1">IFERROR(__xludf.DUMMYFUNCTION("""COMPUTED_VALUE"""),"Model 3 SR+")</f>
        <v>Model 3 SR+</v>
      </c>
      <c r="D1655">
        <f ca="1">IFERROR(__xludf.DUMMYFUNCTION("""COMPUTED_VALUE"""),954)</f>
        <v>954</v>
      </c>
      <c r="E1655">
        <f ca="1">IFERROR(__xludf.DUMMYFUNCTION("""COMPUTED_VALUE"""),382)</f>
        <v>382</v>
      </c>
      <c r="F1655">
        <v>381</v>
      </c>
      <c r="G1655">
        <v>1.0026246719160106</v>
      </c>
      <c r="H1655">
        <v>593</v>
      </c>
      <c r="I1655">
        <v>954</v>
      </c>
      <c r="J1655">
        <v>593</v>
      </c>
      <c r="K1655">
        <v>0.99934703741631781</v>
      </c>
      <c r="L1655">
        <f t="shared" ca="1" si="165"/>
        <v>237.363722</v>
      </c>
      <c r="M1655">
        <f t="shared" si="166"/>
        <v>236.74235100000001</v>
      </c>
      <c r="N1655">
        <v>593</v>
      </c>
      <c r="O1655">
        <f t="shared" ca="1" si="164"/>
        <v>1.0026246719160103</v>
      </c>
    </row>
    <row r="1656" spans="1:15" x14ac:dyDescent="0.2">
      <c r="A1656" t="str">
        <f ca="1">IFERROR(__xludf.DUMMYFUNCTION("""COMPUTED_VALUE"""),"km")</f>
        <v>km</v>
      </c>
      <c r="B1656" t="str">
        <f ca="1">IFERROR(__xludf.DUMMYFUNCTION("""COMPUTED_VALUE"""),"Model S 70D")</f>
        <v>Model S 70D</v>
      </c>
      <c r="D1656">
        <f ca="1">IFERROR(__xludf.DUMMYFUNCTION("""COMPUTED_VALUE"""),22442)</f>
        <v>22442</v>
      </c>
      <c r="E1656">
        <f ca="1">IFERROR(__xludf.DUMMYFUNCTION("""COMPUTED_VALUE"""),361)</f>
        <v>361</v>
      </c>
      <c r="F1656">
        <v>360</v>
      </c>
      <c r="G1656">
        <v>1.0027777777777778</v>
      </c>
      <c r="H1656">
        <v>13945</v>
      </c>
      <c r="I1656">
        <v>22442</v>
      </c>
      <c r="J1656">
        <v>13945</v>
      </c>
      <c r="K1656">
        <v>0.9850749668493215</v>
      </c>
      <c r="L1656">
        <f t="shared" ca="1" si="165"/>
        <v>224.314931</v>
      </c>
      <c r="M1656">
        <f t="shared" si="166"/>
        <v>223.69355999999999</v>
      </c>
      <c r="N1656">
        <v>13945</v>
      </c>
      <c r="O1656">
        <f t="shared" ca="1" si="164"/>
        <v>1.0027777777777778</v>
      </c>
    </row>
    <row r="1657" spans="1:15" x14ac:dyDescent="0.2">
      <c r="A1657" t="str">
        <f ca="1">IFERROR(__xludf.DUMMYFUNCTION("""COMPUTED_VALUE"""),"km")</f>
        <v>km</v>
      </c>
      <c r="B1657" t="str">
        <f ca="1">IFERROR(__xludf.DUMMYFUNCTION("""COMPUTED_VALUE"""),"Model S 70D")</f>
        <v>Model S 70D</v>
      </c>
      <c r="D1657">
        <f ca="1">IFERROR(__xludf.DUMMYFUNCTION("""COMPUTED_VALUE"""),6455)</f>
        <v>6455</v>
      </c>
      <c r="E1657">
        <f ca="1">IFERROR(__xludf.DUMMYFUNCTION("""COMPUTED_VALUE"""),361)</f>
        <v>361</v>
      </c>
      <c r="F1657">
        <v>360</v>
      </c>
      <c r="G1657">
        <v>1.0027777777777778</v>
      </c>
      <c r="H1657">
        <v>4011</v>
      </c>
      <c r="I1657">
        <v>6455</v>
      </c>
      <c r="J1657">
        <v>4011</v>
      </c>
      <c r="K1657">
        <v>0.99561375498641058</v>
      </c>
      <c r="L1657">
        <f t="shared" ca="1" si="165"/>
        <v>224.314931</v>
      </c>
      <c r="M1657">
        <f t="shared" si="166"/>
        <v>223.69355999999999</v>
      </c>
      <c r="N1657">
        <v>4011</v>
      </c>
      <c r="O1657">
        <f t="shared" ca="1" si="164"/>
        <v>1.0027777777777778</v>
      </c>
    </row>
    <row r="1658" spans="1:15" x14ac:dyDescent="0.2">
      <c r="A1658" t="str">
        <f ca="1">IFERROR(__xludf.DUMMYFUNCTION("""COMPUTED_VALUE"""),"km")</f>
        <v>km</v>
      </c>
      <c r="B1658" t="str">
        <f ca="1">IFERROR(__xludf.DUMMYFUNCTION("""COMPUTED_VALUE"""),"Model S 70D")</f>
        <v>Model S 70D</v>
      </c>
      <c r="D1658">
        <f ca="1">IFERROR(__xludf.DUMMYFUNCTION("""COMPUTED_VALUE"""),17500)</f>
        <v>17500</v>
      </c>
      <c r="E1658">
        <f ca="1">IFERROR(__xludf.DUMMYFUNCTION("""COMPUTED_VALUE"""),361)</f>
        <v>361</v>
      </c>
      <c r="F1658">
        <v>360</v>
      </c>
      <c r="G1658">
        <v>1.0027777777777778</v>
      </c>
      <c r="H1658">
        <v>10874</v>
      </c>
      <c r="I1658">
        <v>17500</v>
      </c>
      <c r="J1658">
        <v>10874</v>
      </c>
      <c r="K1658">
        <v>0.98828307641090296</v>
      </c>
      <c r="L1658">
        <f t="shared" ca="1" si="165"/>
        <v>224.314931</v>
      </c>
      <c r="M1658">
        <f t="shared" si="166"/>
        <v>223.69355999999999</v>
      </c>
      <c r="N1658">
        <v>10874</v>
      </c>
      <c r="O1658">
        <f t="shared" ca="1" si="164"/>
        <v>1.0027777777777778</v>
      </c>
    </row>
    <row r="1659" spans="1:15" x14ac:dyDescent="0.2">
      <c r="A1659" t="str">
        <f ca="1">IFERROR(__xludf.DUMMYFUNCTION("""COMPUTED_VALUE"""),"km")</f>
        <v>km</v>
      </c>
      <c r="B1659" t="str">
        <f ca="1">IFERROR(__xludf.DUMMYFUNCTION("""COMPUTED_VALUE"""),"Model S 70D")</f>
        <v>Model S 70D</v>
      </c>
      <c r="D1659">
        <f ca="1">IFERROR(__xludf.DUMMYFUNCTION("""COMPUTED_VALUE"""),8643)</f>
        <v>8643</v>
      </c>
      <c r="E1659">
        <f ca="1">IFERROR(__xludf.DUMMYFUNCTION("""COMPUTED_VALUE"""),361)</f>
        <v>361</v>
      </c>
      <c r="F1659">
        <v>360</v>
      </c>
      <c r="G1659">
        <v>1.0027777777777778</v>
      </c>
      <c r="H1659">
        <v>5371</v>
      </c>
      <c r="I1659">
        <v>8643</v>
      </c>
      <c r="J1659">
        <v>5371</v>
      </c>
      <c r="K1659">
        <v>0.99414400216408738</v>
      </c>
      <c r="L1659">
        <f t="shared" ca="1" si="165"/>
        <v>224.314931</v>
      </c>
      <c r="M1659">
        <f t="shared" si="166"/>
        <v>223.69355999999999</v>
      </c>
      <c r="N1659">
        <v>5371</v>
      </c>
      <c r="O1659">
        <f t="shared" ca="1" si="164"/>
        <v>1.0027777777777778</v>
      </c>
    </row>
    <row r="1660" spans="1:15" x14ac:dyDescent="0.2">
      <c r="A1660" t="str">
        <f ca="1">IFERROR(__xludf.DUMMYFUNCTION("""COMPUTED_VALUE"""),"km")</f>
        <v>km</v>
      </c>
      <c r="B1660" t="str">
        <f ca="1">IFERROR(__xludf.DUMMYFUNCTION("""COMPUTED_VALUE"""),"Model S 70D")</f>
        <v>Model S 70D</v>
      </c>
      <c r="C1660">
        <f ca="1">IFERROR(__xludf.DUMMYFUNCTION("""COMPUTED_VALUE"""),361)</f>
        <v>361</v>
      </c>
      <c r="D1660">
        <f ca="1">IFERROR(__xludf.DUMMYFUNCTION("""COMPUTED_VALUE"""),6076)</f>
        <v>6076</v>
      </c>
      <c r="E1660">
        <f ca="1">IFERROR(__xludf.DUMMYFUNCTION("""COMPUTED_VALUE"""),361)</f>
        <v>361</v>
      </c>
      <c r="F1660">
        <v>360</v>
      </c>
      <c r="G1660">
        <v>1.0027777777777778</v>
      </c>
      <c r="H1660">
        <v>3775</v>
      </c>
      <c r="I1660">
        <v>6076</v>
      </c>
      <c r="J1660">
        <v>3775</v>
      </c>
      <c r="K1660">
        <v>0.9958692194823634</v>
      </c>
      <c r="L1660">
        <f t="shared" ca="1" si="165"/>
        <v>224.314931</v>
      </c>
      <c r="M1660">
        <f t="shared" si="166"/>
        <v>223.69355999999999</v>
      </c>
      <c r="N1660">
        <v>3775</v>
      </c>
      <c r="O1660">
        <f t="shared" ca="1" si="164"/>
        <v>1.0027777777777778</v>
      </c>
    </row>
    <row r="1661" spans="1:15" x14ac:dyDescent="0.2">
      <c r="A1661" t="str">
        <f ca="1">IFERROR(__xludf.DUMMYFUNCTION("""COMPUTED_VALUE"""),"km")</f>
        <v>km</v>
      </c>
      <c r="B1661" t="str">
        <f ca="1">IFERROR(__xludf.DUMMYFUNCTION("""COMPUTED_VALUE"""),"Model S 70D")</f>
        <v>Model S 70D</v>
      </c>
      <c r="D1661">
        <f ca="1">IFERROR(__xludf.DUMMYFUNCTION("""COMPUTED_VALUE"""),4093)</f>
        <v>4093</v>
      </c>
      <c r="E1661">
        <f ca="1">IFERROR(__xludf.DUMMYFUNCTION("""COMPUTED_VALUE"""),361)</f>
        <v>361</v>
      </c>
      <c r="F1661">
        <v>360</v>
      </c>
      <c r="G1661">
        <v>1.0027777777777778</v>
      </c>
      <c r="H1661">
        <v>2543</v>
      </c>
      <c r="I1661">
        <v>4093</v>
      </c>
      <c r="J1661">
        <v>2543</v>
      </c>
      <c r="K1661">
        <v>0.99721007563963815</v>
      </c>
      <c r="L1661">
        <f t="shared" ca="1" si="165"/>
        <v>224.314931</v>
      </c>
      <c r="M1661">
        <f t="shared" si="166"/>
        <v>223.69355999999999</v>
      </c>
      <c r="N1661">
        <v>2543</v>
      </c>
      <c r="O1661">
        <f t="shared" ca="1" si="164"/>
        <v>1.0027777777777778</v>
      </c>
    </row>
    <row r="1662" spans="1:15" x14ac:dyDescent="0.2">
      <c r="A1662" t="str">
        <f ca="1">IFERROR(__xludf.DUMMYFUNCTION("""COMPUTED_VALUE"""),"km")</f>
        <v>km</v>
      </c>
      <c r="B1662" t="str">
        <f ca="1">IFERROR(__xludf.DUMMYFUNCTION("""COMPUTED_VALUE"""),"Model S 70D")</f>
        <v>Model S 70D</v>
      </c>
      <c r="C1662">
        <f ca="1">IFERROR(__xludf.DUMMYFUNCTION("""COMPUTED_VALUE"""),361)</f>
        <v>361</v>
      </c>
      <c r="D1662">
        <f ca="1">IFERROR(__xludf.DUMMYFUNCTION("""COMPUTED_VALUE"""),3032)</f>
        <v>3032</v>
      </c>
      <c r="E1662">
        <f ca="1">IFERROR(__xludf.DUMMYFUNCTION("""COMPUTED_VALUE"""),361)</f>
        <v>361</v>
      </c>
      <c r="F1662">
        <v>360</v>
      </c>
      <c r="G1662">
        <v>1.0027777777777778</v>
      </c>
      <c r="H1662">
        <v>1884</v>
      </c>
      <c r="I1662">
        <v>3032</v>
      </c>
      <c r="J1662">
        <v>1884</v>
      </c>
      <c r="K1662">
        <v>0.99793040219659557</v>
      </c>
      <c r="L1662">
        <f t="shared" ca="1" si="165"/>
        <v>224.314931</v>
      </c>
      <c r="M1662">
        <f t="shared" si="166"/>
        <v>223.69355999999999</v>
      </c>
      <c r="N1662">
        <v>1884</v>
      </c>
      <c r="O1662">
        <f t="shared" ca="1" si="164"/>
        <v>1.0027777777777778</v>
      </c>
    </row>
    <row r="1663" spans="1:15" x14ac:dyDescent="0.2">
      <c r="A1663" t="str">
        <f ca="1">IFERROR(__xludf.DUMMYFUNCTION("""COMPUTED_VALUE"""),"km")</f>
        <v>km</v>
      </c>
      <c r="B1663" t="str">
        <f ca="1">IFERROR(__xludf.DUMMYFUNCTION("""COMPUTED_VALUE"""),"Model S 70")</f>
        <v>Model S 70</v>
      </c>
      <c r="D1663">
        <f ca="1">IFERROR(__xludf.DUMMYFUNCTION("""COMPUTED_VALUE"""),67565)</f>
        <v>67565</v>
      </c>
      <c r="E1663">
        <f ca="1">IFERROR(__xludf.DUMMYFUNCTION("""COMPUTED_VALUE"""),356)</f>
        <v>356</v>
      </c>
      <c r="F1663">
        <v>355</v>
      </c>
      <c r="G1663">
        <v>1.0028169014084507</v>
      </c>
      <c r="H1663">
        <v>41983</v>
      </c>
      <c r="I1663">
        <v>67565</v>
      </c>
      <c r="J1663">
        <v>41983</v>
      </c>
      <c r="K1663">
        <v>0.95788872950571369</v>
      </c>
      <c r="L1663">
        <f t="shared" ca="1" si="165"/>
        <v>221.20807600000001</v>
      </c>
      <c r="M1663">
        <f t="shared" si="166"/>
        <v>220.58670499999999</v>
      </c>
      <c r="N1663">
        <v>41983</v>
      </c>
      <c r="O1663">
        <f t="shared" ca="1" si="164"/>
        <v>1.0028169014084507</v>
      </c>
    </row>
    <row r="1664" spans="1:15" x14ac:dyDescent="0.2">
      <c r="A1664" t="str">
        <f ca="1">IFERROR(__xludf.DUMMYFUNCTION("""COMPUTED_VALUE"""),"mi")</f>
        <v>mi</v>
      </c>
      <c r="B1664" t="str">
        <f ca="1">IFERROR(__xludf.DUMMYFUNCTION("""COMPUTED_VALUE"""),"Model S 100D")</f>
        <v>Model S 100D</v>
      </c>
      <c r="D1664">
        <f ca="1">IFERROR(__xludf.DUMMYFUNCTION("""COMPUTED_VALUE"""),4407)</f>
        <v>4407</v>
      </c>
      <c r="E1664">
        <f ca="1">IFERROR(__xludf.DUMMYFUNCTION("""COMPUTED_VALUE"""),333)</f>
        <v>333</v>
      </c>
      <c r="F1664">
        <v>332</v>
      </c>
      <c r="G1664">
        <v>1.0030120481927711</v>
      </c>
      <c r="H1664">
        <v>4407</v>
      </c>
      <c r="I1664">
        <v>7092</v>
      </c>
      <c r="J1664">
        <v>4407</v>
      </c>
      <c r="K1664">
        <v>0.99518496929952516</v>
      </c>
      <c r="L1664">
        <f ca="1">IFERROR(__xludf.DUMMYFUNCTION("""COMPUTED_VALUE"""),333)</f>
        <v>333</v>
      </c>
      <c r="M1664">
        <v>332</v>
      </c>
      <c r="N1664">
        <v>4407</v>
      </c>
      <c r="O1664">
        <f t="shared" ca="1" si="164"/>
        <v>1.0030120481927711</v>
      </c>
    </row>
    <row r="1665" spans="1:15" x14ac:dyDescent="0.2">
      <c r="A1665" t="str">
        <f ca="1">IFERROR(__xludf.DUMMYFUNCTION("""COMPUTED_VALUE"""),"mi")</f>
        <v>mi</v>
      </c>
      <c r="B1665" t="str">
        <f ca="1">IFERROR(__xludf.DUMMYFUNCTION("""COMPUTED_VALUE"""),"Model S 90D")</f>
        <v>Model S 90D</v>
      </c>
      <c r="C1665">
        <f ca="1">IFERROR(__xludf.DUMMYFUNCTION("""COMPUTED_VALUE"""),295)</f>
        <v>295</v>
      </c>
      <c r="D1665">
        <f ca="1">IFERROR(__xludf.DUMMYFUNCTION("""COMPUTED_VALUE"""),12414)</f>
        <v>12414</v>
      </c>
      <c r="E1665">
        <f ca="1">IFERROR(__xludf.DUMMYFUNCTION("""COMPUTED_VALUE"""),293)</f>
        <v>293</v>
      </c>
      <c r="F1665">
        <v>292</v>
      </c>
      <c r="G1665">
        <v>1.0034246575342465</v>
      </c>
      <c r="H1665">
        <v>12414</v>
      </c>
      <c r="I1665">
        <v>19978</v>
      </c>
      <c r="J1665">
        <v>12414</v>
      </c>
      <c r="K1665">
        <v>0.98666888902247818</v>
      </c>
      <c r="L1665">
        <f ca="1">IFERROR(__xludf.DUMMYFUNCTION("""COMPUTED_VALUE"""),293)</f>
        <v>293</v>
      </c>
      <c r="M1665">
        <v>292</v>
      </c>
      <c r="N1665">
        <v>12414</v>
      </c>
      <c r="O1665">
        <f t="shared" ca="1" si="164"/>
        <v>1.0034246575342465</v>
      </c>
    </row>
    <row r="1666" spans="1:15" x14ac:dyDescent="0.2">
      <c r="A1666" t="str">
        <f ca="1">IFERROR(__xludf.DUMMYFUNCTION("""COMPUTED_VALUE"""),"km")</f>
        <v>km</v>
      </c>
      <c r="B1666" t="str">
        <f ca="1">IFERROR(__xludf.DUMMYFUNCTION("""COMPUTED_VALUE"""),"Model S 60")</f>
        <v>Model S 60</v>
      </c>
      <c r="D1666">
        <f ca="1">IFERROR(__xludf.DUMMYFUNCTION("""COMPUTED_VALUE"""),19700)</f>
        <v>19700</v>
      </c>
      <c r="E1666">
        <f ca="1">IFERROR(__xludf.DUMMYFUNCTION("""COMPUTED_VALUE"""),285)</f>
        <v>285</v>
      </c>
      <c r="F1666">
        <v>284</v>
      </c>
      <c r="G1666">
        <v>1.0035211267605635</v>
      </c>
      <c r="H1666">
        <v>12241</v>
      </c>
      <c r="I1666">
        <v>19700</v>
      </c>
      <c r="J1666">
        <v>12241</v>
      </c>
      <c r="K1666">
        <v>0.98684942105519768</v>
      </c>
      <c r="L1666">
        <f ca="1">E1666*0.621371</f>
        <v>177.090735</v>
      </c>
      <c r="M1666">
        <f>F1666*0.621371</f>
        <v>176.46936400000001</v>
      </c>
      <c r="N1666">
        <v>12241</v>
      </c>
      <c r="O1666">
        <f t="shared" ref="O1666:O1729" ca="1" si="167">L1666/M1666</f>
        <v>1.0035211267605633</v>
      </c>
    </row>
    <row r="1667" spans="1:15" x14ac:dyDescent="0.2">
      <c r="A1667" t="str">
        <f ca="1">IFERROR(__xludf.DUMMYFUNCTION("""COMPUTED_VALUE"""),"km")</f>
        <v>km</v>
      </c>
      <c r="B1667" t="str">
        <f ca="1">IFERROR(__xludf.DUMMYFUNCTION("""COMPUTED_VALUE"""),"Model S 60")</f>
        <v>Model S 60</v>
      </c>
      <c r="D1667">
        <f ca="1">IFERROR(__xludf.DUMMYFUNCTION("""COMPUTED_VALUE"""),15300)</f>
        <v>15300</v>
      </c>
      <c r="E1667">
        <f ca="1">IFERROR(__xludf.DUMMYFUNCTION("""COMPUTED_VALUE"""),285)</f>
        <v>285</v>
      </c>
      <c r="F1667">
        <v>284</v>
      </c>
      <c r="G1667">
        <v>1.0035211267605635</v>
      </c>
      <c r="H1667">
        <v>9507</v>
      </c>
      <c r="I1667">
        <v>15300</v>
      </c>
      <c r="J1667">
        <v>9507</v>
      </c>
      <c r="K1667">
        <v>0.98972556688503688</v>
      </c>
      <c r="L1667">
        <f ca="1">E1667*0.621371</f>
        <v>177.090735</v>
      </c>
      <c r="M1667">
        <f>F1667*0.621371</f>
        <v>176.46936400000001</v>
      </c>
      <c r="N1667">
        <v>9507</v>
      </c>
      <c r="O1667">
        <f t="shared" ca="1" si="167"/>
        <v>1.0035211267605633</v>
      </c>
    </row>
    <row r="1668" spans="1:15" x14ac:dyDescent="0.2">
      <c r="A1668" t="str">
        <f ca="1">IFERROR(__xludf.DUMMYFUNCTION("""COMPUTED_VALUE"""),"mi")</f>
        <v>mi</v>
      </c>
      <c r="B1668" t="str">
        <f ca="1">IFERROR(__xludf.DUMMYFUNCTION("""COMPUTED_VALUE"""),"Model S 90D 2015")</f>
        <v>Model S 90D 2015</v>
      </c>
      <c r="C1668">
        <f ca="1">IFERROR(__xludf.DUMMYFUNCTION("""COMPUTED_VALUE"""),283)</f>
        <v>283</v>
      </c>
      <c r="D1668">
        <f ca="1">IFERROR(__xludf.DUMMYFUNCTION("""COMPUTED_VALUE"""),2135)</f>
        <v>2135</v>
      </c>
      <c r="E1668">
        <f ca="1">IFERROR(__xludf.DUMMYFUNCTION("""COMPUTED_VALUE"""),278)</f>
        <v>278</v>
      </c>
      <c r="F1668">
        <v>277</v>
      </c>
      <c r="G1668">
        <v>1.0036101083032491</v>
      </c>
      <c r="H1668">
        <v>2135</v>
      </c>
      <c r="I1668">
        <v>3436</v>
      </c>
      <c r="J1668">
        <v>2135</v>
      </c>
      <c r="K1668">
        <v>0.99765588295008389</v>
      </c>
      <c r="L1668">
        <f ca="1">IFERROR(__xludf.DUMMYFUNCTION("""COMPUTED_VALUE"""),278)</f>
        <v>278</v>
      </c>
      <c r="M1668">
        <v>277</v>
      </c>
      <c r="N1668">
        <v>2135</v>
      </c>
      <c r="O1668">
        <f t="shared" ca="1" si="167"/>
        <v>1.0036101083032491</v>
      </c>
    </row>
    <row r="1669" spans="1:15" x14ac:dyDescent="0.2">
      <c r="A1669" t="str">
        <f ca="1">IFERROR(__xludf.DUMMYFUNCTION("""COMPUTED_VALUE"""),"mi")</f>
        <v>mi</v>
      </c>
      <c r="B1669" t="str">
        <f ca="1">IFERROR(__xludf.DUMMYFUNCTION("""COMPUTED_VALUE"""),"Model S P85D")</f>
        <v>Model S P85D</v>
      </c>
      <c r="C1669">
        <f ca="1">IFERROR(__xludf.DUMMYFUNCTION("""COMPUTED_VALUE"""),255)</f>
        <v>255</v>
      </c>
      <c r="D1669">
        <f ca="1">IFERROR(__xludf.DUMMYFUNCTION("""COMPUTED_VALUE"""),9100)</f>
        <v>9100</v>
      </c>
      <c r="E1669">
        <f ca="1">IFERROR(__xludf.DUMMYFUNCTION("""COMPUTED_VALUE"""),254)</f>
        <v>254</v>
      </c>
      <c r="F1669">
        <v>253</v>
      </c>
      <c r="G1669">
        <v>1.0039525691699605</v>
      </c>
      <c r="H1669">
        <v>9100</v>
      </c>
      <c r="I1669">
        <v>14645</v>
      </c>
      <c r="J1669">
        <v>9100</v>
      </c>
      <c r="K1669">
        <v>0.99015673918436131</v>
      </c>
      <c r="L1669">
        <f ca="1">IFERROR(__xludf.DUMMYFUNCTION("""COMPUTED_VALUE"""),254)</f>
        <v>254</v>
      </c>
      <c r="M1669">
        <v>253</v>
      </c>
      <c r="N1669">
        <v>9100</v>
      </c>
      <c r="O1669">
        <f t="shared" ca="1" si="167"/>
        <v>1.0039525691699605</v>
      </c>
    </row>
    <row r="1670" spans="1:15" x14ac:dyDescent="0.2">
      <c r="A1670" t="str">
        <f ca="1">IFERROR(__xludf.DUMMYFUNCTION("""COMPUTED_VALUE"""),"mi")</f>
        <v>mi</v>
      </c>
      <c r="B1670" t="str">
        <f ca="1">IFERROR(__xludf.DUMMYFUNCTION("""COMPUTED_VALUE"""),"Model S P85D")</f>
        <v>Model S P85D</v>
      </c>
      <c r="C1670">
        <f ca="1">IFERROR(__xludf.DUMMYFUNCTION("""COMPUTED_VALUE"""),256)</f>
        <v>256</v>
      </c>
      <c r="D1670">
        <f ca="1">IFERROR(__xludf.DUMMYFUNCTION("""COMPUTED_VALUE"""),7814)</f>
        <v>7814</v>
      </c>
      <c r="E1670">
        <f ca="1">IFERROR(__xludf.DUMMYFUNCTION("""COMPUTED_VALUE"""),254)</f>
        <v>254</v>
      </c>
      <c r="F1670">
        <v>253</v>
      </c>
      <c r="G1670">
        <v>1.0039525691699605</v>
      </c>
      <c r="H1670">
        <v>7814</v>
      </c>
      <c r="I1670">
        <v>12575</v>
      </c>
      <c r="J1670">
        <v>7814</v>
      </c>
      <c r="K1670">
        <v>0.99152450431493611</v>
      </c>
      <c r="L1670">
        <f ca="1">IFERROR(__xludf.DUMMYFUNCTION("""COMPUTED_VALUE"""),254)</f>
        <v>254</v>
      </c>
      <c r="M1670">
        <v>253</v>
      </c>
      <c r="N1670">
        <v>7814</v>
      </c>
      <c r="O1670">
        <f t="shared" ca="1" si="167"/>
        <v>1.0039525691699605</v>
      </c>
    </row>
    <row r="1671" spans="1:15" x14ac:dyDescent="0.2">
      <c r="A1671" t="str">
        <f ca="1">IFERROR(__xludf.DUMMYFUNCTION("""COMPUTED_VALUE"""),"mi")</f>
        <v>mi</v>
      </c>
      <c r="B1671" t="str">
        <f ca="1">IFERROR(__xludf.DUMMYFUNCTION("""COMPUTED_VALUE"""),"Model S 85")</f>
        <v>Model S 85</v>
      </c>
      <c r="C1671">
        <f ca="1">IFERROR(__xludf.DUMMYFUNCTION("""COMPUTED_VALUE"""),246)</f>
        <v>246</v>
      </c>
      <c r="D1671">
        <f ca="1">IFERROR(__xludf.DUMMYFUNCTION("""COMPUTED_VALUE"""),2800)</f>
        <v>2800</v>
      </c>
      <c r="E1671">
        <f ca="1">IFERROR(__xludf.DUMMYFUNCTION("""COMPUTED_VALUE"""),246)</f>
        <v>246</v>
      </c>
      <c r="F1671">
        <v>245</v>
      </c>
      <c r="G1671">
        <v>1.0040816326530613</v>
      </c>
      <c r="H1671">
        <v>2800</v>
      </c>
      <c r="I1671">
        <v>4506</v>
      </c>
      <c r="J1671">
        <v>2800</v>
      </c>
      <c r="K1671">
        <v>0.99693023172431317</v>
      </c>
      <c r="L1671">
        <f ca="1">IFERROR(__xludf.DUMMYFUNCTION("""COMPUTED_VALUE"""),246)</f>
        <v>246</v>
      </c>
      <c r="M1671">
        <v>245</v>
      </c>
      <c r="N1671">
        <v>2800</v>
      </c>
      <c r="O1671">
        <f t="shared" ca="1" si="167"/>
        <v>1.0040816326530613</v>
      </c>
    </row>
    <row r="1672" spans="1:15" x14ac:dyDescent="0.2">
      <c r="A1672" t="str">
        <f ca="1">IFERROR(__xludf.DUMMYFUNCTION("""COMPUTED_VALUE"""),"mi")</f>
        <v>mi</v>
      </c>
      <c r="B1672" t="str">
        <f ca="1">IFERROR(__xludf.DUMMYFUNCTION("""COMPUTED_VALUE"""),"Model 3 SR+")</f>
        <v>Model 3 SR+</v>
      </c>
      <c r="C1672">
        <f ca="1">IFERROR(__xludf.DUMMYFUNCTION("""COMPUTED_VALUE"""),247)</f>
        <v>247</v>
      </c>
      <c r="D1672">
        <f ca="1">IFERROR(__xludf.DUMMYFUNCTION("""COMPUTED_VALUE"""),5214)</f>
        <v>5214</v>
      </c>
      <c r="E1672">
        <f ca="1">IFERROR(__xludf.DUMMYFUNCTION("""COMPUTED_VALUE"""),241)</f>
        <v>241</v>
      </c>
      <c r="F1672">
        <v>240</v>
      </c>
      <c r="G1672">
        <v>1.0041666666666667</v>
      </c>
      <c r="H1672">
        <v>5214</v>
      </c>
      <c r="I1672">
        <v>8391</v>
      </c>
      <c r="J1672">
        <v>5214</v>
      </c>
      <c r="K1672">
        <v>0.99431283856967811</v>
      </c>
      <c r="L1672">
        <f ca="1">IFERROR(__xludf.DUMMYFUNCTION("""COMPUTED_VALUE"""),241)</f>
        <v>241</v>
      </c>
      <c r="M1672">
        <v>240</v>
      </c>
      <c r="N1672">
        <v>5214</v>
      </c>
      <c r="O1672">
        <f t="shared" ca="1" si="167"/>
        <v>1.0041666666666667</v>
      </c>
    </row>
    <row r="1673" spans="1:15" x14ac:dyDescent="0.2">
      <c r="A1673" t="str">
        <f ca="1">IFERROR(__xludf.DUMMYFUNCTION("""COMPUTED_VALUE"""),"km")</f>
        <v>km</v>
      </c>
      <c r="B1673" t="str">
        <f ca="1">IFERROR(__xludf.DUMMYFUNCTION("""COMPUTED_VALUE"""),"Model S 90D")</f>
        <v>Model S 90D</v>
      </c>
      <c r="C1673">
        <f ca="1">IFERROR(__xludf.DUMMYFUNCTION("""COMPUTED_VALUE"""),473)</f>
        <v>473</v>
      </c>
      <c r="D1673">
        <f ca="1">IFERROR(__xludf.DUMMYFUNCTION("""COMPUTED_VALUE"""),2647)</f>
        <v>2647</v>
      </c>
      <c r="E1673">
        <f ca="1">IFERROR(__xludf.DUMMYFUNCTION("""COMPUTED_VALUE"""),472)</f>
        <v>472</v>
      </c>
      <c r="F1673">
        <v>470</v>
      </c>
      <c r="G1673">
        <v>1.0042553191489361</v>
      </c>
      <c r="H1673">
        <v>1645</v>
      </c>
      <c r="I1673">
        <v>2647</v>
      </c>
      <c r="J1673">
        <v>1645</v>
      </c>
      <c r="K1673">
        <v>0.99819228362141144</v>
      </c>
      <c r="L1673">
        <f t="shared" ref="L1673:M1677" ca="1" si="168">E1673*0.621371</f>
        <v>293.28711199999998</v>
      </c>
      <c r="M1673">
        <f t="shared" si="168"/>
        <v>292.04437000000001</v>
      </c>
      <c r="N1673">
        <v>1645</v>
      </c>
      <c r="O1673">
        <f t="shared" ca="1" si="167"/>
        <v>1.0042553191489361</v>
      </c>
    </row>
    <row r="1674" spans="1:15" x14ac:dyDescent="0.2">
      <c r="A1674" t="str">
        <f ca="1">IFERROR(__xludf.DUMMYFUNCTION("""COMPUTED_VALUE"""),"km")</f>
        <v>km</v>
      </c>
      <c r="B1674" t="str">
        <f ca="1">IFERROR(__xludf.DUMMYFUNCTION("""COMPUTED_VALUE"""),"Model X 100D")</f>
        <v>Model X 100D</v>
      </c>
      <c r="C1674">
        <f ca="1">IFERROR(__xludf.DUMMYFUNCTION("""COMPUTED_VALUE"""),450)</f>
        <v>450</v>
      </c>
      <c r="D1674">
        <f ca="1">IFERROR(__xludf.DUMMYFUNCTION("""COMPUTED_VALUE"""),4744)</f>
        <v>4744</v>
      </c>
      <c r="E1674">
        <f ca="1">IFERROR(__xludf.DUMMYFUNCTION("""COMPUTED_VALUE"""),450)</f>
        <v>450</v>
      </c>
      <c r="F1674">
        <v>448</v>
      </c>
      <c r="G1674">
        <v>1.0044642857142858</v>
      </c>
      <c r="H1674">
        <v>2948</v>
      </c>
      <c r="I1674">
        <v>4744</v>
      </c>
      <c r="J1674">
        <v>2948</v>
      </c>
      <c r="K1674">
        <v>0.99676910507383543</v>
      </c>
      <c r="L1674">
        <f t="shared" ca="1" si="168"/>
        <v>279.61695000000003</v>
      </c>
      <c r="M1674">
        <f t="shared" si="168"/>
        <v>278.37420800000001</v>
      </c>
      <c r="N1674">
        <v>2948</v>
      </c>
      <c r="O1674">
        <f t="shared" ca="1" si="167"/>
        <v>1.0044642857142858</v>
      </c>
    </row>
    <row r="1675" spans="1:15" x14ac:dyDescent="0.2">
      <c r="A1675" t="str">
        <f ca="1">IFERROR(__xludf.DUMMYFUNCTION("""COMPUTED_VALUE"""),"km")</f>
        <v>km</v>
      </c>
      <c r="B1675" t="str">
        <f ca="1">IFERROR(__xludf.DUMMYFUNCTION("""COMPUTED_VALUE"""),"Model X 100D")</f>
        <v>Model X 100D</v>
      </c>
      <c r="D1675">
        <f ca="1">IFERROR(__xludf.DUMMYFUNCTION("""COMPUTED_VALUE"""),7170)</f>
        <v>7170</v>
      </c>
      <c r="E1675">
        <f ca="1">IFERROR(__xludf.DUMMYFUNCTION("""COMPUTED_VALUE"""),450)</f>
        <v>450</v>
      </c>
      <c r="F1675">
        <v>448</v>
      </c>
      <c r="G1675">
        <v>1.0044642857142858</v>
      </c>
      <c r="H1675">
        <v>4455</v>
      </c>
      <c r="I1675">
        <v>7170</v>
      </c>
      <c r="J1675">
        <v>4455</v>
      </c>
      <c r="K1675">
        <v>0.9951325152234175</v>
      </c>
      <c r="L1675">
        <f t="shared" ca="1" si="168"/>
        <v>279.61695000000003</v>
      </c>
      <c r="M1675">
        <f t="shared" si="168"/>
        <v>278.37420800000001</v>
      </c>
      <c r="N1675">
        <v>4455</v>
      </c>
      <c r="O1675">
        <f t="shared" ca="1" si="167"/>
        <v>1.0044642857142858</v>
      </c>
    </row>
    <row r="1676" spans="1:15" x14ac:dyDescent="0.2">
      <c r="A1676" t="str">
        <f ca="1">IFERROR(__xludf.DUMMYFUNCTION("""COMPUTED_VALUE"""),"km")</f>
        <v>km</v>
      </c>
      <c r="B1676" t="str">
        <f ca="1">IFERROR(__xludf.DUMMYFUNCTION("""COMPUTED_VALUE"""),"Model S 90D")</f>
        <v>Model S 90D</v>
      </c>
      <c r="C1676">
        <f ca="1">IFERROR(__xludf.DUMMYFUNCTION("""COMPUTED_VALUE"""),448)</f>
        <v>448</v>
      </c>
      <c r="D1676">
        <f ca="1">IFERROR(__xludf.DUMMYFUNCTION("""COMPUTED_VALUE"""),3323)</f>
        <v>3323</v>
      </c>
      <c r="E1676">
        <f ca="1">IFERROR(__xludf.DUMMYFUNCTION("""COMPUTED_VALUE"""),449)</f>
        <v>449</v>
      </c>
      <c r="F1676">
        <v>447</v>
      </c>
      <c r="G1676">
        <v>1.0044742729306488</v>
      </c>
      <c r="H1676">
        <v>2065</v>
      </c>
      <c r="I1676">
        <v>3323</v>
      </c>
      <c r="J1676">
        <v>2065</v>
      </c>
      <c r="K1676">
        <v>0.99773263726701666</v>
      </c>
      <c r="L1676">
        <f t="shared" ca="1" si="168"/>
        <v>278.99557900000002</v>
      </c>
      <c r="M1676">
        <f t="shared" si="168"/>
        <v>277.752837</v>
      </c>
      <c r="N1676">
        <v>2065</v>
      </c>
      <c r="O1676">
        <f t="shared" ca="1" si="167"/>
        <v>1.0044742729306488</v>
      </c>
    </row>
    <row r="1677" spans="1:15" x14ac:dyDescent="0.2">
      <c r="A1677" t="str">
        <f ca="1">IFERROR(__xludf.DUMMYFUNCTION("""COMPUTED_VALUE"""),"km")</f>
        <v>km</v>
      </c>
      <c r="B1677" t="str">
        <f ca="1">IFERROR(__xludf.DUMMYFUNCTION("""COMPUTED_VALUE"""),"Model S 90D")</f>
        <v>Model S 90D</v>
      </c>
      <c r="D1677">
        <f ca="1">IFERROR(__xludf.DUMMYFUNCTION("""COMPUTED_VALUE"""),8200)</f>
        <v>8200</v>
      </c>
      <c r="E1677">
        <f ca="1">IFERROR(__xludf.DUMMYFUNCTION("""COMPUTED_VALUE"""),449)</f>
        <v>449</v>
      </c>
      <c r="F1677">
        <v>447</v>
      </c>
      <c r="G1677">
        <v>1.0044742729306488</v>
      </c>
      <c r="H1677">
        <v>5095</v>
      </c>
      <c r="I1677">
        <v>8200</v>
      </c>
      <c r="J1677">
        <v>5095</v>
      </c>
      <c r="K1677">
        <v>0.9944408822803944</v>
      </c>
      <c r="L1677">
        <f t="shared" ca="1" si="168"/>
        <v>278.99557900000002</v>
      </c>
      <c r="M1677">
        <f t="shared" si="168"/>
        <v>277.752837</v>
      </c>
      <c r="N1677">
        <v>5095</v>
      </c>
      <c r="O1677">
        <f t="shared" ca="1" si="167"/>
        <v>1.0044742729306488</v>
      </c>
    </row>
    <row r="1678" spans="1:15" x14ac:dyDescent="0.2">
      <c r="A1678" t="str">
        <f ca="1">IFERROR(__xludf.DUMMYFUNCTION("""COMPUTED_VALUE"""),"mi")</f>
        <v>mi</v>
      </c>
      <c r="B1678" t="str">
        <f ca="1">IFERROR(__xludf.DUMMYFUNCTION("""COMPUTED_VALUE"""),"Model S 60")</f>
        <v>Model S 60</v>
      </c>
      <c r="C1678">
        <f ca="1">IFERROR(__xludf.DUMMYFUNCTION("""COMPUTED_VALUE"""),220)</f>
        <v>220</v>
      </c>
      <c r="D1678">
        <f ca="1">IFERROR(__xludf.DUMMYFUNCTION("""COMPUTED_VALUE"""),15000)</f>
        <v>15000</v>
      </c>
      <c r="E1678">
        <f ca="1">IFERROR(__xludf.DUMMYFUNCTION("""COMPUTED_VALUE"""),208)</f>
        <v>208</v>
      </c>
      <c r="F1678">
        <v>207</v>
      </c>
      <c r="G1678">
        <v>1.0048309178743962</v>
      </c>
      <c r="H1678">
        <v>15000</v>
      </c>
      <c r="I1678">
        <v>24140</v>
      </c>
      <c r="J1678">
        <v>15000</v>
      </c>
      <c r="K1678">
        <v>0.9839830424851681</v>
      </c>
      <c r="L1678">
        <f ca="1">IFERROR(__xludf.DUMMYFUNCTION("""COMPUTED_VALUE"""),208)</f>
        <v>208</v>
      </c>
      <c r="M1678">
        <v>207</v>
      </c>
      <c r="N1678">
        <v>15000</v>
      </c>
      <c r="O1678">
        <f t="shared" ca="1" si="167"/>
        <v>1.0048309178743962</v>
      </c>
    </row>
    <row r="1679" spans="1:15" x14ac:dyDescent="0.2">
      <c r="A1679" t="str">
        <f ca="1">IFERROR(__xludf.DUMMYFUNCTION("""COMPUTED_VALUE"""),"mi")</f>
        <v>mi</v>
      </c>
      <c r="B1679" t="str">
        <f ca="1">IFERROR(__xludf.DUMMYFUNCTION("""COMPUTED_VALUE"""),"Model S 60D")</f>
        <v>Model S 60D</v>
      </c>
      <c r="D1679">
        <f ca="1">IFERROR(__xludf.DUMMYFUNCTION("""COMPUTED_VALUE"""),2271)</f>
        <v>2271</v>
      </c>
      <c r="E1679">
        <f ca="1">IFERROR(__xludf.DUMMYFUNCTION("""COMPUTED_VALUE"""),205)</f>
        <v>205</v>
      </c>
      <c r="F1679">
        <v>204</v>
      </c>
      <c r="G1679">
        <v>1.0049019607843137</v>
      </c>
      <c r="H1679">
        <v>2271</v>
      </c>
      <c r="I1679">
        <v>3655</v>
      </c>
      <c r="J1679">
        <v>2271</v>
      </c>
      <c r="K1679">
        <v>0.99750719432175927</v>
      </c>
      <c r="L1679">
        <f ca="1">IFERROR(__xludf.DUMMYFUNCTION("""COMPUTED_VALUE"""),205)</f>
        <v>205</v>
      </c>
      <c r="M1679">
        <v>204</v>
      </c>
      <c r="N1679">
        <v>2271</v>
      </c>
      <c r="O1679">
        <f t="shared" ca="1" si="167"/>
        <v>1.0049019607843137</v>
      </c>
    </row>
    <row r="1680" spans="1:15" x14ac:dyDescent="0.2">
      <c r="A1680" t="str">
        <f ca="1">IFERROR(__xludf.DUMMYFUNCTION("""COMPUTED_VALUE"""),"km")</f>
        <v>km</v>
      </c>
      <c r="B1680" t="str">
        <f ca="1">IFERROR(__xludf.DUMMYFUNCTION("""COMPUTED_VALUE"""),"Model S P85D")</f>
        <v>Model S P85D</v>
      </c>
      <c r="D1680">
        <f ca="1">IFERROR(__xludf.DUMMYFUNCTION("""COMPUTED_VALUE"""),3503)</f>
        <v>3503</v>
      </c>
      <c r="E1680">
        <f ca="1">IFERROR(__xludf.DUMMYFUNCTION("""COMPUTED_VALUE"""),405)</f>
        <v>405</v>
      </c>
      <c r="F1680">
        <v>403</v>
      </c>
      <c r="G1680">
        <v>1.0049627791563276</v>
      </c>
      <c r="H1680">
        <v>2177</v>
      </c>
      <c r="I1680">
        <v>3503</v>
      </c>
      <c r="J1680">
        <v>2177</v>
      </c>
      <c r="K1680">
        <v>0.99761038458615092</v>
      </c>
      <c r="L1680">
        <f t="shared" ref="L1680:L1696" ca="1" si="169">E1680*0.621371</f>
        <v>251.65525500000001</v>
      </c>
      <c r="M1680">
        <f t="shared" ref="M1680:M1696" si="170">F1680*0.621371</f>
        <v>250.41251299999999</v>
      </c>
      <c r="N1680">
        <v>2177</v>
      </c>
      <c r="O1680">
        <f t="shared" ca="1" si="167"/>
        <v>1.0049627791563276</v>
      </c>
    </row>
    <row r="1681" spans="1:15" x14ac:dyDescent="0.2">
      <c r="A1681" t="str">
        <f ca="1">IFERROR(__xludf.DUMMYFUNCTION("""COMPUTED_VALUE"""),"km")</f>
        <v>km</v>
      </c>
      <c r="B1681" t="str">
        <f ca="1">IFERROR(__xludf.DUMMYFUNCTION("""COMPUTED_VALUE"""),"Model S P85D")</f>
        <v>Model S P85D</v>
      </c>
      <c r="D1681">
        <f ca="1">IFERROR(__xludf.DUMMYFUNCTION("""COMPUTED_VALUE"""),1875)</f>
        <v>1875</v>
      </c>
      <c r="E1681">
        <f ca="1">IFERROR(__xludf.DUMMYFUNCTION("""COMPUTED_VALUE"""),405)</f>
        <v>405</v>
      </c>
      <c r="F1681">
        <v>403</v>
      </c>
      <c r="G1681">
        <v>1.0049627791563276</v>
      </c>
      <c r="H1681">
        <v>1165</v>
      </c>
      <c r="I1681">
        <v>1875</v>
      </c>
      <c r="J1681">
        <v>1165</v>
      </c>
      <c r="K1681">
        <v>0.99871820838811076</v>
      </c>
      <c r="L1681">
        <f t="shared" ca="1" si="169"/>
        <v>251.65525500000001</v>
      </c>
      <c r="M1681">
        <f t="shared" si="170"/>
        <v>250.41251299999999</v>
      </c>
      <c r="N1681">
        <v>1165</v>
      </c>
      <c r="O1681">
        <f t="shared" ca="1" si="167"/>
        <v>1.0049627791563276</v>
      </c>
    </row>
    <row r="1682" spans="1:15" x14ac:dyDescent="0.2">
      <c r="A1682" t="str">
        <f ca="1">IFERROR(__xludf.DUMMYFUNCTION("""COMPUTED_VALUE"""),"km")</f>
        <v>km</v>
      </c>
      <c r="B1682" t="str">
        <f ca="1">IFERROR(__xludf.DUMMYFUNCTION("""COMPUTED_VALUE"""),"Model S 75D")</f>
        <v>Model S 75D</v>
      </c>
      <c r="C1682">
        <f ca="1">IFERROR(__xludf.DUMMYFUNCTION("""COMPUTED_VALUE"""),393)</f>
        <v>393</v>
      </c>
      <c r="D1682">
        <f ca="1">IFERROR(__xludf.DUMMYFUNCTION("""COMPUTED_VALUE"""),50000)</f>
        <v>50000</v>
      </c>
      <c r="E1682">
        <f ca="1">IFERROR(__xludf.DUMMYFUNCTION("""COMPUTED_VALUE"""),386)</f>
        <v>386</v>
      </c>
      <c r="F1682">
        <v>384</v>
      </c>
      <c r="G1682">
        <v>1.0052083333333333</v>
      </c>
      <c r="H1682">
        <v>31069</v>
      </c>
      <c r="I1682">
        <v>50000</v>
      </c>
      <c r="J1682">
        <v>31069</v>
      </c>
      <c r="K1682">
        <v>0.96801478944655506</v>
      </c>
      <c r="L1682">
        <f t="shared" ca="1" si="169"/>
        <v>239.84920600000001</v>
      </c>
      <c r="M1682">
        <f t="shared" si="170"/>
        <v>238.60646400000002</v>
      </c>
      <c r="N1682">
        <v>31069</v>
      </c>
      <c r="O1682">
        <f t="shared" ca="1" si="167"/>
        <v>1.0052083333333333</v>
      </c>
    </row>
    <row r="1683" spans="1:15" x14ac:dyDescent="0.2">
      <c r="A1683" t="str">
        <f ca="1">IFERROR(__xludf.DUMMYFUNCTION("""COMPUTED_VALUE"""),"km")</f>
        <v>km</v>
      </c>
      <c r="B1683" t="str">
        <f ca="1">IFERROR(__xludf.DUMMYFUNCTION("""COMPUTED_VALUE"""),"Model S 75D")</f>
        <v>Model S 75D</v>
      </c>
      <c r="C1683">
        <f ca="1">IFERROR(__xludf.DUMMYFUNCTION("""COMPUTED_VALUE"""),386)</f>
        <v>386</v>
      </c>
      <c r="D1683">
        <f ca="1">IFERROR(__xludf.DUMMYFUNCTION("""COMPUTED_VALUE"""),3767)</f>
        <v>3767</v>
      </c>
      <c r="E1683">
        <f ca="1">IFERROR(__xludf.DUMMYFUNCTION("""COMPUTED_VALUE"""),386)</f>
        <v>386</v>
      </c>
      <c r="F1683">
        <v>384</v>
      </c>
      <c r="G1683">
        <v>1.0052083333333333</v>
      </c>
      <c r="H1683">
        <v>2341</v>
      </c>
      <c r="I1683">
        <v>3767</v>
      </c>
      <c r="J1683">
        <v>2341</v>
      </c>
      <c r="K1683">
        <v>0.99743118595606961</v>
      </c>
      <c r="L1683">
        <f t="shared" ca="1" si="169"/>
        <v>239.84920600000001</v>
      </c>
      <c r="M1683">
        <f t="shared" si="170"/>
        <v>238.60646400000002</v>
      </c>
      <c r="N1683">
        <v>2341</v>
      </c>
      <c r="O1683">
        <f t="shared" ca="1" si="167"/>
        <v>1.0052083333333333</v>
      </c>
    </row>
    <row r="1684" spans="1:15" x14ac:dyDescent="0.2">
      <c r="A1684" t="str">
        <f ca="1">IFERROR(__xludf.DUMMYFUNCTION("""COMPUTED_VALUE"""),"km")</f>
        <v>km</v>
      </c>
      <c r="B1684" t="str">
        <f ca="1">IFERROR(__xludf.DUMMYFUNCTION("""COMPUTED_VALUE"""),"Model S 75")</f>
        <v>Model S 75</v>
      </c>
      <c r="C1684">
        <f ca="1">IFERROR(__xludf.DUMMYFUNCTION("""COMPUTED_VALUE"""),384)</f>
        <v>384</v>
      </c>
      <c r="D1684">
        <f ca="1">IFERROR(__xludf.DUMMYFUNCTION("""COMPUTED_VALUE"""),10239)</f>
        <v>10239</v>
      </c>
      <c r="E1684">
        <f ca="1">IFERROR(__xludf.DUMMYFUNCTION("""COMPUTED_VALUE"""),377)</f>
        <v>377</v>
      </c>
      <c r="F1684">
        <v>375</v>
      </c>
      <c r="G1684">
        <v>1.0053333333333334</v>
      </c>
      <c r="H1684">
        <v>6362</v>
      </c>
      <c r="I1684">
        <v>10239</v>
      </c>
      <c r="J1684">
        <v>6362</v>
      </c>
      <c r="K1684">
        <v>0.99307737132979479</v>
      </c>
      <c r="L1684">
        <f t="shared" ca="1" si="169"/>
        <v>234.256867</v>
      </c>
      <c r="M1684">
        <f t="shared" si="170"/>
        <v>233.01412500000001</v>
      </c>
      <c r="N1684">
        <v>6362</v>
      </c>
      <c r="O1684">
        <f t="shared" ca="1" si="167"/>
        <v>1.0053333333333334</v>
      </c>
    </row>
    <row r="1685" spans="1:15" x14ac:dyDescent="0.2">
      <c r="A1685" t="str">
        <f ca="1">IFERROR(__xludf.DUMMYFUNCTION("""COMPUTED_VALUE"""),"km")</f>
        <v>km</v>
      </c>
      <c r="B1685" t="str">
        <f ca="1">IFERROR(__xludf.DUMMYFUNCTION("""COMPUTED_VALUE"""),"Model S 70D")</f>
        <v>Model S 70D</v>
      </c>
      <c r="C1685">
        <f ca="1">IFERROR(__xludf.DUMMYFUNCTION("""COMPUTED_VALUE"""),369)</f>
        <v>369</v>
      </c>
      <c r="D1685">
        <f ca="1">IFERROR(__xludf.DUMMYFUNCTION("""COMPUTED_VALUE"""),3000)</f>
        <v>3000</v>
      </c>
      <c r="E1685">
        <f ca="1">IFERROR(__xludf.DUMMYFUNCTION("""COMPUTED_VALUE"""),362)</f>
        <v>362</v>
      </c>
      <c r="F1685">
        <v>360</v>
      </c>
      <c r="G1685">
        <v>1.0055555555555555</v>
      </c>
      <c r="H1685">
        <v>1864</v>
      </c>
      <c r="I1685">
        <v>3000</v>
      </c>
      <c r="J1685">
        <v>1864</v>
      </c>
      <c r="K1685">
        <v>0.99795215882387533</v>
      </c>
      <c r="L1685">
        <f t="shared" ca="1" si="169"/>
        <v>224.93630200000001</v>
      </c>
      <c r="M1685">
        <f t="shared" si="170"/>
        <v>223.69355999999999</v>
      </c>
      <c r="N1685">
        <v>1864</v>
      </c>
      <c r="O1685">
        <f t="shared" ca="1" si="167"/>
        <v>1.0055555555555558</v>
      </c>
    </row>
    <row r="1686" spans="1:15" x14ac:dyDescent="0.2">
      <c r="A1686" t="str">
        <f ca="1">IFERROR(__xludf.DUMMYFUNCTION("""COMPUTED_VALUE"""),"km")</f>
        <v>km</v>
      </c>
      <c r="B1686" t="str">
        <f ca="1">IFERROR(__xludf.DUMMYFUNCTION("""COMPUTED_VALUE"""),"Model S 70D")</f>
        <v>Model S 70D</v>
      </c>
      <c r="C1686">
        <f ca="1">IFERROR(__xludf.DUMMYFUNCTION("""COMPUTED_VALUE"""),362)</f>
        <v>362</v>
      </c>
      <c r="D1686">
        <f ca="1">IFERROR(__xludf.DUMMYFUNCTION("""COMPUTED_VALUE"""),23635)</f>
        <v>23635</v>
      </c>
      <c r="E1686">
        <f ca="1">IFERROR(__xludf.DUMMYFUNCTION("""COMPUTED_VALUE"""),362)</f>
        <v>362</v>
      </c>
      <c r="F1686">
        <v>360</v>
      </c>
      <c r="G1686">
        <v>1.0055555555555555</v>
      </c>
      <c r="H1686">
        <v>14686</v>
      </c>
      <c r="I1686">
        <v>23635</v>
      </c>
      <c r="J1686">
        <v>14686</v>
      </c>
      <c r="K1686">
        <v>0.98430723672823217</v>
      </c>
      <c r="L1686">
        <f t="shared" ca="1" si="169"/>
        <v>224.93630200000001</v>
      </c>
      <c r="M1686">
        <f t="shared" si="170"/>
        <v>223.69355999999999</v>
      </c>
      <c r="N1686">
        <v>14686</v>
      </c>
      <c r="O1686">
        <f t="shared" ca="1" si="167"/>
        <v>1.0055555555555558</v>
      </c>
    </row>
    <row r="1687" spans="1:15" x14ac:dyDescent="0.2">
      <c r="A1687" t="str">
        <f ca="1">IFERROR(__xludf.DUMMYFUNCTION("""COMPUTED_VALUE"""),"km")</f>
        <v>km</v>
      </c>
      <c r="B1687" t="str">
        <f ca="1">IFERROR(__xludf.DUMMYFUNCTION("""COMPUTED_VALUE"""),"Model S 70D")</f>
        <v>Model S 70D</v>
      </c>
      <c r="C1687">
        <f ca="1">IFERROR(__xludf.DUMMYFUNCTION("""COMPUTED_VALUE"""),360)</f>
        <v>360</v>
      </c>
      <c r="D1687">
        <f ca="1">IFERROR(__xludf.DUMMYFUNCTION("""COMPUTED_VALUE"""),32500)</f>
        <v>32500</v>
      </c>
      <c r="E1687">
        <f ca="1">IFERROR(__xludf.DUMMYFUNCTION("""COMPUTED_VALUE"""),362)</f>
        <v>362</v>
      </c>
      <c r="F1687">
        <v>360</v>
      </c>
      <c r="G1687">
        <v>1.0055555555555555</v>
      </c>
      <c r="H1687">
        <v>20195</v>
      </c>
      <c r="I1687">
        <v>32500</v>
      </c>
      <c r="J1687">
        <v>20195</v>
      </c>
      <c r="K1687">
        <v>0.97868454111364866</v>
      </c>
      <c r="L1687">
        <f t="shared" ca="1" si="169"/>
        <v>224.93630200000001</v>
      </c>
      <c r="M1687">
        <f t="shared" si="170"/>
        <v>223.69355999999999</v>
      </c>
      <c r="N1687">
        <v>20195</v>
      </c>
      <c r="O1687">
        <f t="shared" ca="1" si="167"/>
        <v>1.0055555555555558</v>
      </c>
    </row>
    <row r="1688" spans="1:15" x14ac:dyDescent="0.2">
      <c r="A1688" t="str">
        <f ca="1">IFERROR(__xludf.DUMMYFUNCTION("""COMPUTED_VALUE"""),"km")</f>
        <v>km</v>
      </c>
      <c r="B1688" t="str">
        <f ca="1">IFERROR(__xludf.DUMMYFUNCTION("""COMPUTED_VALUE"""),"Model S 70D")</f>
        <v>Model S 70D</v>
      </c>
      <c r="D1688">
        <f ca="1">IFERROR(__xludf.DUMMYFUNCTION("""COMPUTED_VALUE"""),11989)</f>
        <v>11989</v>
      </c>
      <c r="E1688">
        <f ca="1">IFERROR(__xludf.DUMMYFUNCTION("""COMPUTED_VALUE"""),362)</f>
        <v>362</v>
      </c>
      <c r="F1688">
        <v>360</v>
      </c>
      <c r="G1688">
        <v>1.0055555555555555</v>
      </c>
      <c r="H1688">
        <v>7450</v>
      </c>
      <c r="I1688">
        <v>11989</v>
      </c>
      <c r="J1688">
        <v>7450</v>
      </c>
      <c r="K1688">
        <v>0.99191312083294259</v>
      </c>
      <c r="L1688">
        <f t="shared" ca="1" si="169"/>
        <v>224.93630200000001</v>
      </c>
      <c r="M1688">
        <f t="shared" si="170"/>
        <v>223.69355999999999</v>
      </c>
      <c r="N1688">
        <v>7450</v>
      </c>
      <c r="O1688">
        <f t="shared" ca="1" si="167"/>
        <v>1.0055555555555558</v>
      </c>
    </row>
    <row r="1689" spans="1:15" x14ac:dyDescent="0.2">
      <c r="A1689" t="str">
        <f ca="1">IFERROR(__xludf.DUMMYFUNCTION("""COMPUTED_VALUE"""),"km")</f>
        <v>km</v>
      </c>
      <c r="B1689" t="str">
        <f ca="1">IFERROR(__xludf.DUMMYFUNCTION("""COMPUTED_VALUE"""),"Model S 70D")</f>
        <v>Model S 70D</v>
      </c>
      <c r="D1689">
        <f ca="1">IFERROR(__xludf.DUMMYFUNCTION("""COMPUTED_VALUE"""),9199)</f>
        <v>9199</v>
      </c>
      <c r="E1689">
        <f ca="1">IFERROR(__xludf.DUMMYFUNCTION("""COMPUTED_VALUE"""),362)</f>
        <v>362</v>
      </c>
      <c r="F1689">
        <v>360</v>
      </c>
      <c r="G1689">
        <v>1.0055555555555555</v>
      </c>
      <c r="H1689">
        <v>5716</v>
      </c>
      <c r="I1689">
        <v>9199</v>
      </c>
      <c r="J1689">
        <v>5716</v>
      </c>
      <c r="K1689">
        <v>0.99377189607570537</v>
      </c>
      <c r="L1689">
        <f t="shared" ca="1" si="169"/>
        <v>224.93630200000001</v>
      </c>
      <c r="M1689">
        <f t="shared" si="170"/>
        <v>223.69355999999999</v>
      </c>
      <c r="N1689">
        <v>5716</v>
      </c>
      <c r="O1689">
        <f t="shared" ca="1" si="167"/>
        <v>1.0055555555555558</v>
      </c>
    </row>
    <row r="1690" spans="1:15" x14ac:dyDescent="0.2">
      <c r="A1690" t="str">
        <f ca="1">IFERROR(__xludf.DUMMYFUNCTION("""COMPUTED_VALUE"""),"km")</f>
        <v>km</v>
      </c>
      <c r="B1690" t="str">
        <f ca="1">IFERROR(__xludf.DUMMYFUNCTION("""COMPUTED_VALUE"""),"Model S 70D")</f>
        <v>Model S 70D</v>
      </c>
      <c r="C1690">
        <f ca="1">IFERROR(__xludf.DUMMYFUNCTION("""COMPUTED_VALUE"""),362)</f>
        <v>362</v>
      </c>
      <c r="D1690">
        <f ca="1">IFERROR(__xludf.DUMMYFUNCTION("""COMPUTED_VALUE"""),2359)</f>
        <v>2359</v>
      </c>
      <c r="E1690">
        <f ca="1">IFERROR(__xludf.DUMMYFUNCTION("""COMPUTED_VALUE"""),362)</f>
        <v>362</v>
      </c>
      <c r="F1690">
        <v>360</v>
      </c>
      <c r="G1690">
        <v>1.0055555555555555</v>
      </c>
      <c r="H1690">
        <v>1466</v>
      </c>
      <c r="I1690">
        <v>2359</v>
      </c>
      <c r="J1690">
        <v>1466</v>
      </c>
      <c r="K1690">
        <v>0.99838835848633678</v>
      </c>
      <c r="L1690">
        <f t="shared" ca="1" si="169"/>
        <v>224.93630200000001</v>
      </c>
      <c r="M1690">
        <f t="shared" si="170"/>
        <v>223.69355999999999</v>
      </c>
      <c r="N1690">
        <v>1466</v>
      </c>
      <c r="O1690">
        <f t="shared" ca="1" si="167"/>
        <v>1.0055555555555558</v>
      </c>
    </row>
    <row r="1691" spans="1:15" x14ac:dyDescent="0.2">
      <c r="A1691" t="str">
        <f ca="1">IFERROR(__xludf.DUMMYFUNCTION("""COMPUTED_VALUE"""),"km")</f>
        <v>km</v>
      </c>
      <c r="B1691" t="str">
        <f ca="1">IFERROR(__xludf.DUMMYFUNCTION("""COMPUTED_VALUE"""),"Model 3 LR AWD")</f>
        <v>Model 3 LR AWD</v>
      </c>
      <c r="C1691">
        <f ca="1">IFERROR(__xludf.DUMMYFUNCTION("""COMPUTED_VALUE"""),502)</f>
        <v>502</v>
      </c>
      <c r="D1691">
        <f ca="1">IFERROR(__xludf.DUMMYFUNCTION("""COMPUTED_VALUE"""),5693)</f>
        <v>5693</v>
      </c>
      <c r="E1691">
        <f ca="1">IFERROR(__xludf.DUMMYFUNCTION("""COMPUTED_VALUE"""),502)</f>
        <v>502</v>
      </c>
      <c r="F1691">
        <v>499</v>
      </c>
      <c r="G1691">
        <v>1.0060120240480961</v>
      </c>
      <c r="H1691">
        <v>3537</v>
      </c>
      <c r="I1691">
        <v>5693</v>
      </c>
      <c r="J1691">
        <v>3537</v>
      </c>
      <c r="K1691">
        <v>0.99612764311377688</v>
      </c>
      <c r="L1691">
        <f t="shared" ca="1" si="169"/>
        <v>311.92824200000001</v>
      </c>
      <c r="M1691">
        <f t="shared" si="170"/>
        <v>310.06412899999998</v>
      </c>
      <c r="N1691">
        <v>3537</v>
      </c>
      <c r="O1691">
        <f t="shared" ca="1" si="167"/>
        <v>1.0060120240480963</v>
      </c>
    </row>
    <row r="1692" spans="1:15" x14ac:dyDescent="0.2">
      <c r="A1692" t="str">
        <f ca="1">IFERROR(__xludf.DUMMYFUNCTION("""COMPUTED_VALUE"""),"km")</f>
        <v>km</v>
      </c>
      <c r="B1692" t="str">
        <f ca="1">IFERROR(__xludf.DUMMYFUNCTION("""COMPUTED_VALUE"""),"Model S 90D")</f>
        <v>Model S 90D</v>
      </c>
      <c r="C1692">
        <f ca="1">IFERROR(__xludf.DUMMYFUNCTION("""COMPUTED_VALUE"""),453)</f>
        <v>453</v>
      </c>
      <c r="D1692">
        <f ca="1">IFERROR(__xludf.DUMMYFUNCTION("""COMPUTED_VALUE"""),15800)</f>
        <v>15800</v>
      </c>
      <c r="E1692">
        <f ca="1">IFERROR(__xludf.DUMMYFUNCTION("""COMPUTED_VALUE"""),450)</f>
        <v>450</v>
      </c>
      <c r="F1692">
        <v>447</v>
      </c>
      <c r="G1692">
        <v>1.0067114093959733</v>
      </c>
      <c r="H1692">
        <v>9818</v>
      </c>
      <c r="I1692">
        <v>15800</v>
      </c>
      <c r="J1692">
        <v>9818</v>
      </c>
      <c r="K1692">
        <v>0.98939695347438761</v>
      </c>
      <c r="L1692">
        <f t="shared" ca="1" si="169"/>
        <v>279.61695000000003</v>
      </c>
      <c r="M1692">
        <f t="shared" si="170"/>
        <v>277.752837</v>
      </c>
      <c r="N1692">
        <v>9818</v>
      </c>
      <c r="O1692">
        <f t="shared" ca="1" si="167"/>
        <v>1.0067114093959733</v>
      </c>
    </row>
    <row r="1693" spans="1:15" x14ac:dyDescent="0.2">
      <c r="A1693" t="str">
        <f ca="1">IFERROR(__xludf.DUMMYFUNCTION("""COMPUTED_VALUE"""),"km")</f>
        <v>km</v>
      </c>
      <c r="B1693" t="str">
        <f ca="1">IFERROR(__xludf.DUMMYFUNCTION("""COMPUTED_VALUE"""),"Model S 90D")</f>
        <v>Model S 90D</v>
      </c>
      <c r="D1693">
        <f ca="1">IFERROR(__xludf.DUMMYFUNCTION("""COMPUTED_VALUE"""),5500)</f>
        <v>5500</v>
      </c>
      <c r="E1693">
        <f ca="1">IFERROR(__xludf.DUMMYFUNCTION("""COMPUTED_VALUE"""),450)</f>
        <v>450</v>
      </c>
      <c r="F1693">
        <v>447</v>
      </c>
      <c r="G1693">
        <v>1.0067114093959733</v>
      </c>
      <c r="H1693">
        <v>3418</v>
      </c>
      <c r="I1693">
        <v>5500</v>
      </c>
      <c r="J1693">
        <v>3418</v>
      </c>
      <c r="K1693">
        <v>0.99625796715370518</v>
      </c>
      <c r="L1693">
        <f t="shared" ca="1" si="169"/>
        <v>279.61695000000003</v>
      </c>
      <c r="M1693">
        <f t="shared" si="170"/>
        <v>277.752837</v>
      </c>
      <c r="N1693">
        <v>3418</v>
      </c>
      <c r="O1693">
        <f t="shared" ca="1" si="167"/>
        <v>1.0067114093959733</v>
      </c>
    </row>
    <row r="1694" spans="1:15" x14ac:dyDescent="0.2">
      <c r="A1694" t="str">
        <f ca="1">IFERROR(__xludf.DUMMYFUNCTION("""COMPUTED_VALUE"""),"km")</f>
        <v>km</v>
      </c>
      <c r="B1694" t="str">
        <f ca="1">IFERROR(__xludf.DUMMYFUNCTION("""COMPUTED_VALUE"""),"Model S 90D")</f>
        <v>Model S 90D</v>
      </c>
      <c r="C1694">
        <f ca="1">IFERROR(__xludf.DUMMYFUNCTION("""COMPUTED_VALUE"""),460)</f>
        <v>460</v>
      </c>
      <c r="D1694">
        <f ca="1">IFERROR(__xludf.DUMMYFUNCTION("""COMPUTED_VALUE"""),23990)</f>
        <v>23990</v>
      </c>
      <c r="E1694">
        <f ca="1">IFERROR(__xludf.DUMMYFUNCTION("""COMPUTED_VALUE"""),450)</f>
        <v>450</v>
      </c>
      <c r="F1694">
        <v>447</v>
      </c>
      <c r="G1694">
        <v>1.0067114093959733</v>
      </c>
      <c r="H1694">
        <v>14907</v>
      </c>
      <c r="I1694">
        <v>23990</v>
      </c>
      <c r="J1694">
        <v>14907</v>
      </c>
      <c r="K1694">
        <v>0.98407928884699603</v>
      </c>
      <c r="L1694">
        <f t="shared" ca="1" si="169"/>
        <v>279.61695000000003</v>
      </c>
      <c r="M1694">
        <f t="shared" si="170"/>
        <v>277.752837</v>
      </c>
      <c r="N1694">
        <v>14907</v>
      </c>
      <c r="O1694">
        <f t="shared" ca="1" si="167"/>
        <v>1.0067114093959733</v>
      </c>
    </row>
    <row r="1695" spans="1:15" x14ac:dyDescent="0.2">
      <c r="A1695" t="str">
        <f ca="1">IFERROR(__xludf.DUMMYFUNCTION("""COMPUTED_VALUE"""),"km")</f>
        <v>km</v>
      </c>
      <c r="B1695" t="str">
        <f ca="1">IFERROR(__xludf.DUMMYFUNCTION("""COMPUTED_VALUE"""),"Model S 90D")</f>
        <v>Model S 90D</v>
      </c>
      <c r="C1695">
        <f ca="1">IFERROR(__xludf.DUMMYFUNCTION("""COMPUTED_VALUE"""),455)</f>
        <v>455</v>
      </c>
      <c r="D1695">
        <f ca="1">IFERROR(__xludf.DUMMYFUNCTION("""COMPUTED_VALUE"""),2500)</f>
        <v>2500</v>
      </c>
      <c r="E1695">
        <f ca="1">IFERROR(__xludf.DUMMYFUNCTION("""COMPUTED_VALUE"""),450)</f>
        <v>450</v>
      </c>
      <c r="F1695">
        <v>447</v>
      </c>
      <c r="G1695">
        <v>1.0067114093959733</v>
      </c>
      <c r="H1695">
        <v>1553</v>
      </c>
      <c r="I1695">
        <v>2500</v>
      </c>
      <c r="J1695">
        <v>1553</v>
      </c>
      <c r="K1695">
        <v>0.99829234490187158</v>
      </c>
      <c r="L1695">
        <f t="shared" ca="1" si="169"/>
        <v>279.61695000000003</v>
      </c>
      <c r="M1695">
        <f t="shared" si="170"/>
        <v>277.752837</v>
      </c>
      <c r="N1695">
        <v>1553</v>
      </c>
      <c r="O1695">
        <f t="shared" ca="1" si="167"/>
        <v>1.0067114093959733</v>
      </c>
    </row>
    <row r="1696" spans="1:15" x14ac:dyDescent="0.2">
      <c r="A1696" t="str">
        <f ca="1">IFERROR(__xludf.DUMMYFUNCTION("""COMPUTED_VALUE"""),"km")</f>
        <v>km</v>
      </c>
      <c r="B1696" t="str">
        <f ca="1">IFERROR(__xludf.DUMMYFUNCTION("""COMPUTED_VALUE"""),"Model S 90D")</f>
        <v>Model S 90D</v>
      </c>
      <c r="C1696">
        <f ca="1">IFERROR(__xludf.DUMMYFUNCTION("""COMPUTED_VALUE"""),448)</f>
        <v>448</v>
      </c>
      <c r="D1696">
        <f ca="1">IFERROR(__xludf.DUMMYFUNCTION("""COMPUTED_VALUE"""),1196)</f>
        <v>1196</v>
      </c>
      <c r="E1696">
        <f ca="1">IFERROR(__xludf.DUMMYFUNCTION("""COMPUTED_VALUE"""),450)</f>
        <v>450</v>
      </c>
      <c r="F1696">
        <v>447</v>
      </c>
      <c r="G1696">
        <v>1.0067114093959733</v>
      </c>
      <c r="H1696">
        <v>743</v>
      </c>
      <c r="I1696">
        <v>1196</v>
      </c>
      <c r="J1696">
        <v>743</v>
      </c>
      <c r="K1696">
        <v>0.99918166038926726</v>
      </c>
      <c r="L1696">
        <f t="shared" ca="1" si="169"/>
        <v>279.61695000000003</v>
      </c>
      <c r="M1696">
        <f t="shared" si="170"/>
        <v>277.752837</v>
      </c>
      <c r="N1696">
        <v>743</v>
      </c>
      <c r="O1696">
        <f t="shared" ca="1" si="167"/>
        <v>1.0067114093959733</v>
      </c>
    </row>
    <row r="1697" spans="1:15" x14ac:dyDescent="0.2">
      <c r="A1697" t="str">
        <f ca="1">IFERROR(__xludf.DUMMYFUNCTION("""COMPUTED_VALUE"""),"mi")</f>
        <v>mi</v>
      </c>
      <c r="B1697" t="str">
        <f ca="1">IFERROR(__xludf.DUMMYFUNCTION("""COMPUTED_VALUE"""),"Model S 90D")</f>
        <v>Model S 90D</v>
      </c>
      <c r="C1697">
        <f ca="1">IFERROR(__xludf.DUMMYFUNCTION("""COMPUTED_VALUE"""),295)</f>
        <v>295</v>
      </c>
      <c r="D1697">
        <f ca="1">IFERROR(__xludf.DUMMYFUNCTION("""COMPUTED_VALUE"""),1358)</f>
        <v>1358</v>
      </c>
      <c r="E1697">
        <f ca="1">IFERROR(__xludf.DUMMYFUNCTION("""COMPUTED_VALUE"""),294)</f>
        <v>294</v>
      </c>
      <c r="F1697">
        <v>292</v>
      </c>
      <c r="G1697">
        <v>1.0068493150684932</v>
      </c>
      <c r="H1697">
        <v>1358</v>
      </c>
      <c r="I1697">
        <v>2185</v>
      </c>
      <c r="J1697">
        <v>1358</v>
      </c>
      <c r="K1697">
        <v>0.99850689250812952</v>
      </c>
      <c r="L1697">
        <f ca="1">IFERROR(__xludf.DUMMYFUNCTION("""COMPUTED_VALUE"""),294)</f>
        <v>294</v>
      </c>
      <c r="M1697">
        <v>292</v>
      </c>
      <c r="N1697">
        <v>1358</v>
      </c>
      <c r="O1697">
        <f t="shared" ca="1" si="167"/>
        <v>1.0068493150684932</v>
      </c>
    </row>
    <row r="1698" spans="1:15" x14ac:dyDescent="0.2">
      <c r="A1698" t="str">
        <f ca="1">IFERROR(__xludf.DUMMYFUNCTION("""COMPUTED_VALUE"""),"mi")</f>
        <v>mi</v>
      </c>
      <c r="B1698" t="str">
        <f ca="1">IFERROR(__xludf.DUMMYFUNCTION("""COMPUTED_VALUE"""),"Model S 90D")</f>
        <v>Model S 90D</v>
      </c>
      <c r="C1698">
        <f ca="1">IFERROR(__xludf.DUMMYFUNCTION("""COMPUTED_VALUE"""),295)</f>
        <v>295</v>
      </c>
      <c r="D1698">
        <f ca="1">IFERROR(__xludf.DUMMYFUNCTION("""COMPUTED_VALUE"""),812)</f>
        <v>812</v>
      </c>
      <c r="E1698">
        <f ca="1">IFERROR(__xludf.DUMMYFUNCTION("""COMPUTED_VALUE"""),294)</f>
        <v>294</v>
      </c>
      <c r="F1698">
        <v>292</v>
      </c>
      <c r="G1698">
        <v>1.0068493150684932</v>
      </c>
      <c r="H1698">
        <v>812</v>
      </c>
      <c r="I1698">
        <v>1307</v>
      </c>
      <c r="J1698">
        <v>812</v>
      </c>
      <c r="K1698">
        <v>0.99910584074259323</v>
      </c>
      <c r="L1698">
        <f ca="1">IFERROR(__xludf.DUMMYFUNCTION("""COMPUTED_VALUE"""),294)</f>
        <v>294</v>
      </c>
      <c r="M1698">
        <v>292</v>
      </c>
      <c r="N1698">
        <v>812</v>
      </c>
      <c r="O1698">
        <f t="shared" ca="1" si="167"/>
        <v>1.0068493150684932</v>
      </c>
    </row>
    <row r="1699" spans="1:15" x14ac:dyDescent="0.2">
      <c r="A1699" t="str">
        <f ca="1">IFERROR(__xludf.DUMMYFUNCTION("""COMPUTED_VALUE"""),"km")</f>
        <v>km</v>
      </c>
      <c r="B1699" t="str">
        <f ca="1">IFERROR(__xludf.DUMMYFUNCTION("""COMPUTED_VALUE"""),"Model S 60")</f>
        <v>Model S 60</v>
      </c>
      <c r="D1699">
        <f ca="1">IFERROR(__xludf.DUMMYFUNCTION("""COMPUTED_VALUE"""),2300)</f>
        <v>2300</v>
      </c>
      <c r="E1699">
        <f ca="1">IFERROR(__xludf.DUMMYFUNCTION("""COMPUTED_VALUE"""),286)</f>
        <v>286</v>
      </c>
      <c r="F1699">
        <v>284</v>
      </c>
      <c r="G1699">
        <v>1.0070422535211268</v>
      </c>
      <c r="H1699">
        <v>1429</v>
      </c>
      <c r="I1699">
        <v>2300</v>
      </c>
      <c r="J1699">
        <v>1429</v>
      </c>
      <c r="K1699">
        <v>0.99842854497023192</v>
      </c>
      <c r="L1699">
        <f t="shared" ref="L1699:M1704" ca="1" si="171">E1699*0.621371</f>
        <v>177.71210600000001</v>
      </c>
      <c r="M1699">
        <f t="shared" si="171"/>
        <v>176.46936400000001</v>
      </c>
      <c r="N1699">
        <v>1429</v>
      </c>
      <c r="O1699">
        <f t="shared" ca="1" si="167"/>
        <v>1.0070422535211268</v>
      </c>
    </row>
    <row r="1700" spans="1:15" x14ac:dyDescent="0.2">
      <c r="A1700" t="str">
        <f ca="1">IFERROR(__xludf.DUMMYFUNCTION("""COMPUTED_VALUE"""),"km")</f>
        <v>km</v>
      </c>
      <c r="B1700" t="str">
        <f ca="1">IFERROR(__xludf.DUMMYFUNCTION("""COMPUTED_VALUE"""),"Model S 85D")</f>
        <v>Model S 85D</v>
      </c>
      <c r="D1700">
        <f ca="1">IFERROR(__xludf.DUMMYFUNCTION("""COMPUTED_VALUE"""),20147)</f>
        <v>20147</v>
      </c>
      <c r="E1700">
        <f ca="1">IFERROR(__xludf.DUMMYFUNCTION("""COMPUTED_VALUE"""),428)</f>
        <v>428</v>
      </c>
      <c r="F1700">
        <v>425</v>
      </c>
      <c r="G1700">
        <v>1.0070588235294118</v>
      </c>
      <c r="H1700">
        <v>12519</v>
      </c>
      <c r="I1700">
        <v>20147</v>
      </c>
      <c r="J1700">
        <v>12519</v>
      </c>
      <c r="K1700">
        <v>0.98655921027296811</v>
      </c>
      <c r="L1700">
        <f t="shared" ca="1" si="171"/>
        <v>265.94678800000003</v>
      </c>
      <c r="M1700">
        <f t="shared" si="171"/>
        <v>264.08267499999999</v>
      </c>
      <c r="N1700">
        <v>12519</v>
      </c>
      <c r="O1700">
        <f t="shared" ca="1" si="167"/>
        <v>1.0070588235294118</v>
      </c>
    </row>
    <row r="1701" spans="1:15" x14ac:dyDescent="0.2">
      <c r="A1701" t="str">
        <f ca="1">IFERROR(__xludf.DUMMYFUNCTION("""COMPUTED_VALUE"""),"km")</f>
        <v>km</v>
      </c>
      <c r="B1701" t="str">
        <f ca="1">IFERROR(__xludf.DUMMYFUNCTION("""COMPUTED_VALUE"""),"Model S P85D")</f>
        <v>Model S P85D</v>
      </c>
      <c r="D1701">
        <f ca="1">IFERROR(__xludf.DUMMYFUNCTION("""COMPUTED_VALUE"""),16302)</f>
        <v>16302</v>
      </c>
      <c r="E1701">
        <f ca="1">IFERROR(__xludf.DUMMYFUNCTION("""COMPUTED_VALUE"""),406)</f>
        <v>406</v>
      </c>
      <c r="F1701">
        <v>403</v>
      </c>
      <c r="G1701">
        <v>1.0074441687344913</v>
      </c>
      <c r="H1701">
        <v>10130</v>
      </c>
      <c r="I1701">
        <v>16302</v>
      </c>
      <c r="J1701">
        <v>10130</v>
      </c>
      <c r="K1701">
        <v>0.98906748382620702</v>
      </c>
      <c r="L1701">
        <f t="shared" ca="1" si="171"/>
        <v>252.27662599999999</v>
      </c>
      <c r="M1701">
        <f t="shared" si="171"/>
        <v>250.41251299999999</v>
      </c>
      <c r="N1701">
        <v>10130</v>
      </c>
      <c r="O1701">
        <f t="shared" ca="1" si="167"/>
        <v>1.0074441687344913</v>
      </c>
    </row>
    <row r="1702" spans="1:15" x14ac:dyDescent="0.2">
      <c r="A1702" t="str">
        <f ca="1">IFERROR(__xludf.DUMMYFUNCTION("""COMPUTED_VALUE"""),"km")</f>
        <v>km</v>
      </c>
      <c r="B1702" t="str">
        <f ca="1">IFERROR(__xludf.DUMMYFUNCTION("""COMPUTED_VALUE"""),"Model S P85D")</f>
        <v>Model S P85D</v>
      </c>
      <c r="C1702">
        <f ca="1">IFERROR(__xludf.DUMMYFUNCTION("""COMPUTED_VALUE"""),406)</f>
        <v>406</v>
      </c>
      <c r="D1702">
        <f ca="1">IFERROR(__xludf.DUMMYFUNCTION("""COMPUTED_VALUE"""),5903)</f>
        <v>5903</v>
      </c>
      <c r="E1702">
        <f ca="1">IFERROR(__xludf.DUMMYFUNCTION("""COMPUTED_VALUE"""),406)</f>
        <v>406</v>
      </c>
      <c r="F1702">
        <v>403</v>
      </c>
      <c r="G1702">
        <v>1.0074441687344913</v>
      </c>
      <c r="H1702">
        <v>3668</v>
      </c>
      <c r="I1702">
        <v>5903</v>
      </c>
      <c r="J1702">
        <v>3668</v>
      </c>
      <c r="K1702">
        <v>0.99598591596958874</v>
      </c>
      <c r="L1702">
        <f t="shared" ca="1" si="171"/>
        <v>252.27662599999999</v>
      </c>
      <c r="M1702">
        <f t="shared" si="171"/>
        <v>250.41251299999999</v>
      </c>
      <c r="N1702">
        <v>3668</v>
      </c>
      <c r="O1702">
        <f t="shared" ca="1" si="167"/>
        <v>1.0074441687344913</v>
      </c>
    </row>
    <row r="1703" spans="1:15" x14ac:dyDescent="0.2">
      <c r="A1703" t="str">
        <f ca="1">IFERROR(__xludf.DUMMYFUNCTION("""COMPUTED_VALUE"""),"km")</f>
        <v>km</v>
      </c>
      <c r="B1703" t="str">
        <f ca="1">IFERROR(__xludf.DUMMYFUNCTION("""COMPUTED_VALUE"""),"Model S P85D")</f>
        <v>Model S P85D</v>
      </c>
      <c r="C1703">
        <f ca="1">IFERROR(__xludf.DUMMYFUNCTION("""COMPUTED_VALUE"""),406)</f>
        <v>406</v>
      </c>
      <c r="D1703">
        <f ca="1">IFERROR(__xludf.DUMMYFUNCTION("""COMPUTED_VALUE"""),4144)</f>
        <v>4144</v>
      </c>
      <c r="E1703">
        <f ca="1">IFERROR(__xludf.DUMMYFUNCTION("""COMPUTED_VALUE"""),406)</f>
        <v>406</v>
      </c>
      <c r="F1703">
        <v>403</v>
      </c>
      <c r="G1703">
        <v>1.0074441687344913</v>
      </c>
      <c r="H1703">
        <v>2575</v>
      </c>
      <c r="I1703">
        <v>4144</v>
      </c>
      <c r="J1703">
        <v>2575</v>
      </c>
      <c r="K1703">
        <v>0.99717550204385685</v>
      </c>
      <c r="L1703">
        <f t="shared" ca="1" si="171"/>
        <v>252.27662599999999</v>
      </c>
      <c r="M1703">
        <f t="shared" si="171"/>
        <v>250.41251299999999</v>
      </c>
      <c r="N1703">
        <v>2575</v>
      </c>
      <c r="O1703">
        <f t="shared" ca="1" si="167"/>
        <v>1.0074441687344913</v>
      </c>
    </row>
    <row r="1704" spans="1:15" x14ac:dyDescent="0.2">
      <c r="A1704" t="str">
        <f ca="1">IFERROR(__xludf.DUMMYFUNCTION("""COMPUTED_VALUE"""),"km")</f>
        <v>km</v>
      </c>
      <c r="B1704" t="str">
        <f ca="1">IFERROR(__xludf.DUMMYFUNCTION("""COMPUTED_VALUE"""),"Model S P85D")</f>
        <v>Model S P85D</v>
      </c>
      <c r="C1704">
        <f ca="1">IFERROR(__xludf.DUMMYFUNCTION("""COMPUTED_VALUE"""),406)</f>
        <v>406</v>
      </c>
      <c r="D1704">
        <f ca="1">IFERROR(__xludf.DUMMYFUNCTION("""COMPUTED_VALUE"""),3272)</f>
        <v>3272</v>
      </c>
      <c r="E1704">
        <f ca="1">IFERROR(__xludf.DUMMYFUNCTION("""COMPUTED_VALUE"""),406)</f>
        <v>406</v>
      </c>
      <c r="F1704">
        <v>403</v>
      </c>
      <c r="G1704">
        <v>1.0074441687344913</v>
      </c>
      <c r="H1704">
        <v>2033</v>
      </c>
      <c r="I1704">
        <v>3272</v>
      </c>
      <c r="J1704">
        <v>2033</v>
      </c>
      <c r="K1704">
        <v>0.9977672861081609</v>
      </c>
      <c r="L1704">
        <f t="shared" ca="1" si="171"/>
        <v>252.27662599999999</v>
      </c>
      <c r="M1704">
        <f t="shared" si="171"/>
        <v>250.41251299999999</v>
      </c>
      <c r="N1704">
        <v>2033</v>
      </c>
      <c r="O1704">
        <f t="shared" ca="1" si="167"/>
        <v>1.0074441687344913</v>
      </c>
    </row>
    <row r="1705" spans="1:15" x14ac:dyDescent="0.2">
      <c r="A1705" t="str">
        <f ca="1">IFERROR(__xludf.DUMMYFUNCTION("""COMPUTED_VALUE"""),"mi")</f>
        <v>mi</v>
      </c>
      <c r="B1705" t="str">
        <f ca="1">IFERROR(__xludf.DUMMYFUNCTION("""COMPUTED_VALUE"""),"Model S 85D")</f>
        <v>Model S 85D</v>
      </c>
      <c r="D1705">
        <f ca="1">IFERROR(__xludf.DUMMYFUNCTION("""COMPUTED_VALUE"""),49129)</f>
        <v>49129</v>
      </c>
      <c r="E1705">
        <f ca="1">IFERROR(__xludf.DUMMYFUNCTION("""COMPUTED_VALUE"""),266)</f>
        <v>266</v>
      </c>
      <c r="F1705">
        <v>264</v>
      </c>
      <c r="G1705">
        <v>1.0075757575757576</v>
      </c>
      <c r="H1705">
        <v>49129</v>
      </c>
      <c r="I1705">
        <v>79065</v>
      </c>
      <c r="J1705">
        <v>49129</v>
      </c>
      <c r="K1705">
        <v>0.95158126965444589</v>
      </c>
      <c r="L1705">
        <f ca="1">IFERROR(__xludf.DUMMYFUNCTION("""COMPUTED_VALUE"""),266)</f>
        <v>266</v>
      </c>
      <c r="M1705">
        <v>264</v>
      </c>
      <c r="N1705">
        <v>49129</v>
      </c>
      <c r="O1705">
        <f t="shared" ca="1" si="167"/>
        <v>1.0075757575757576</v>
      </c>
    </row>
    <row r="1706" spans="1:15" x14ac:dyDescent="0.2">
      <c r="A1706" t="str">
        <f ca="1">IFERROR(__xludf.DUMMYFUNCTION("""COMPUTED_VALUE"""),"km")</f>
        <v>km</v>
      </c>
      <c r="B1706" t="str">
        <f ca="1">IFERROR(__xludf.DUMMYFUNCTION("""COMPUTED_VALUE"""),"Model S 85")</f>
        <v>Model S 85</v>
      </c>
      <c r="D1706">
        <f ca="1">IFERROR(__xludf.DUMMYFUNCTION("""COMPUTED_VALUE"""),3200)</f>
        <v>3200</v>
      </c>
      <c r="E1706">
        <f ca="1">IFERROR(__xludf.DUMMYFUNCTION("""COMPUTED_VALUE"""),398)</f>
        <v>398</v>
      </c>
      <c r="F1706">
        <v>395</v>
      </c>
      <c r="G1706">
        <v>1.0075949367088608</v>
      </c>
      <c r="H1706">
        <v>1988</v>
      </c>
      <c r="I1706">
        <v>3200</v>
      </c>
      <c r="J1706">
        <v>1988</v>
      </c>
      <c r="K1706">
        <v>0.99781621007263799</v>
      </c>
      <c r="L1706">
        <f ca="1">E1706*0.621371</f>
        <v>247.30565799999999</v>
      </c>
      <c r="M1706">
        <f>F1706*0.621371</f>
        <v>245.44154499999999</v>
      </c>
      <c r="N1706">
        <v>1988</v>
      </c>
      <c r="O1706">
        <f t="shared" ca="1" si="167"/>
        <v>1.0075949367088608</v>
      </c>
    </row>
    <row r="1707" spans="1:15" x14ac:dyDescent="0.2">
      <c r="A1707" t="str">
        <f ca="1">IFERROR(__xludf.DUMMYFUNCTION("""COMPUTED_VALUE"""),"km")</f>
        <v>km</v>
      </c>
      <c r="B1707" t="str">
        <f ca="1">IFERROR(__xludf.DUMMYFUNCTION("""COMPUTED_VALUE"""),"Model S 85")</f>
        <v>Model S 85</v>
      </c>
      <c r="D1707">
        <f ca="1">IFERROR(__xludf.DUMMYFUNCTION("""COMPUTED_VALUE"""),4178)</f>
        <v>4178</v>
      </c>
      <c r="E1707">
        <f ca="1">IFERROR(__xludf.DUMMYFUNCTION("""COMPUTED_VALUE"""),398)</f>
        <v>398</v>
      </c>
      <c r="F1707">
        <v>395</v>
      </c>
      <c r="G1707">
        <v>1.0075949367088608</v>
      </c>
      <c r="H1707">
        <v>2596</v>
      </c>
      <c r="I1707">
        <v>4178</v>
      </c>
      <c r="J1707">
        <v>2596</v>
      </c>
      <c r="K1707">
        <v>0.99715245557804622</v>
      </c>
      <c r="L1707">
        <f ca="1">E1707*0.621371</f>
        <v>247.30565799999999</v>
      </c>
      <c r="M1707">
        <f>F1707*0.621371</f>
        <v>245.44154499999999</v>
      </c>
      <c r="N1707">
        <v>2596</v>
      </c>
      <c r="O1707">
        <f t="shared" ca="1" si="167"/>
        <v>1.0075949367088608</v>
      </c>
    </row>
    <row r="1708" spans="1:15" x14ac:dyDescent="0.2">
      <c r="A1708" t="str">
        <f ca="1">IFERROR(__xludf.DUMMYFUNCTION("""COMPUTED_VALUE"""),"mi")</f>
        <v>mi</v>
      </c>
      <c r="B1708" t="str">
        <f ca="1">IFERROR(__xludf.DUMMYFUNCTION("""COMPUTED_VALUE"""),"Model S P85D")</f>
        <v>Model S P85D</v>
      </c>
      <c r="C1708">
        <f ca="1">IFERROR(__xludf.DUMMYFUNCTION("""COMPUTED_VALUE"""),256)</f>
        <v>256</v>
      </c>
      <c r="D1708">
        <f ca="1">IFERROR(__xludf.DUMMYFUNCTION("""COMPUTED_VALUE"""),6063)</f>
        <v>6063</v>
      </c>
      <c r="E1708">
        <f ca="1">IFERROR(__xludf.DUMMYFUNCTION("""COMPUTED_VALUE"""),255)</f>
        <v>255</v>
      </c>
      <c r="F1708">
        <v>253</v>
      </c>
      <c r="G1708">
        <v>1.0079051383399209</v>
      </c>
      <c r="H1708">
        <v>6063</v>
      </c>
      <c r="I1708">
        <v>9757</v>
      </c>
      <c r="J1708">
        <v>6063</v>
      </c>
      <c r="K1708">
        <v>0.99339901351147852</v>
      </c>
      <c r="L1708">
        <f ca="1">IFERROR(__xludf.DUMMYFUNCTION("""COMPUTED_VALUE"""),255)</f>
        <v>255</v>
      </c>
      <c r="M1708">
        <v>253</v>
      </c>
      <c r="N1708">
        <v>6063</v>
      </c>
      <c r="O1708">
        <f t="shared" ca="1" si="167"/>
        <v>1.0079051383399209</v>
      </c>
    </row>
    <row r="1709" spans="1:15" x14ac:dyDescent="0.2">
      <c r="A1709" t="str">
        <f ca="1">IFERROR(__xludf.DUMMYFUNCTION("""COMPUTED_VALUE"""),"km")</f>
        <v>km</v>
      </c>
      <c r="B1709" t="str">
        <f ca="1">IFERROR(__xludf.DUMMYFUNCTION("""COMPUTED_VALUE"""),"Model S 70D")</f>
        <v>Model S 70D</v>
      </c>
      <c r="D1709">
        <f ca="1">IFERROR(__xludf.DUMMYFUNCTION("""COMPUTED_VALUE"""),1700)</f>
        <v>1700</v>
      </c>
      <c r="E1709">
        <f ca="1">IFERROR(__xludf.DUMMYFUNCTION("""COMPUTED_VALUE"""),363)</f>
        <v>363</v>
      </c>
      <c r="F1709">
        <v>360</v>
      </c>
      <c r="G1709">
        <v>1.0083333333333333</v>
      </c>
      <c r="H1709">
        <v>1056</v>
      </c>
      <c r="I1709">
        <v>1700</v>
      </c>
      <c r="J1709">
        <v>1056</v>
      </c>
      <c r="K1709">
        <v>0.99883757571942899</v>
      </c>
      <c r="L1709">
        <f ca="1">E1709*0.621371</f>
        <v>225.55767299999999</v>
      </c>
      <c r="M1709">
        <f>F1709*0.621371</f>
        <v>223.69355999999999</v>
      </c>
      <c r="N1709">
        <v>1056</v>
      </c>
      <c r="O1709">
        <f t="shared" ca="1" si="167"/>
        <v>1.0083333333333333</v>
      </c>
    </row>
    <row r="1710" spans="1:15" x14ac:dyDescent="0.2">
      <c r="A1710" t="str">
        <f ca="1">IFERROR(__xludf.DUMMYFUNCTION("""COMPUTED_VALUE"""),"mi")</f>
        <v>mi</v>
      </c>
      <c r="B1710" t="str">
        <f ca="1">IFERROR(__xludf.DUMMYFUNCTION("""COMPUTED_VALUE"""),"Model X 100D")</f>
        <v>Model X 100D</v>
      </c>
      <c r="D1710">
        <f ca="1">IFERROR(__xludf.DUMMYFUNCTION("""COMPUTED_VALUE"""),4046.83)</f>
        <v>4046.83</v>
      </c>
      <c r="E1710">
        <f ca="1">IFERROR(__xludf.DUMMYFUNCTION("""COMPUTED_VALUE"""),294.444444444444)</f>
        <v>294.444444444444</v>
      </c>
      <c r="F1710">
        <v>292</v>
      </c>
      <c r="G1710">
        <v>1.0083713850837139</v>
      </c>
      <c r="H1710">
        <v>4046.83</v>
      </c>
      <c r="I1710">
        <v>6513</v>
      </c>
      <c r="J1710">
        <v>4046.83</v>
      </c>
      <c r="K1710">
        <v>0.9955746829986003</v>
      </c>
      <c r="L1710">
        <f ca="1">IFERROR(__xludf.DUMMYFUNCTION("""COMPUTED_VALUE"""),294.444444444444)</f>
        <v>294.444444444444</v>
      </c>
      <c r="M1710">
        <v>292</v>
      </c>
      <c r="N1710">
        <v>4046.83</v>
      </c>
      <c r="O1710">
        <f t="shared" ca="1" si="167"/>
        <v>1.0083713850837124</v>
      </c>
    </row>
    <row r="1711" spans="1:15" x14ac:dyDescent="0.2">
      <c r="A1711" t="str">
        <f ca="1">IFERROR(__xludf.DUMMYFUNCTION("""COMPUTED_VALUE"""),"km")</f>
        <v>km</v>
      </c>
      <c r="B1711" t="str">
        <f ca="1">IFERROR(__xludf.DUMMYFUNCTION("""COMPUTED_VALUE"""),"Model S 70")</f>
        <v>Model S 70</v>
      </c>
      <c r="C1711">
        <f ca="1">IFERROR(__xludf.DUMMYFUNCTION("""COMPUTED_VALUE"""),360)</f>
        <v>360</v>
      </c>
      <c r="D1711">
        <f ca="1">IFERROR(__xludf.DUMMYFUNCTION("""COMPUTED_VALUE"""),6463)</f>
        <v>6463</v>
      </c>
      <c r="E1711">
        <f ca="1">IFERROR(__xludf.DUMMYFUNCTION("""COMPUTED_VALUE"""),358)</f>
        <v>358</v>
      </c>
      <c r="F1711">
        <v>355</v>
      </c>
      <c r="G1711">
        <v>1.0084507042253521</v>
      </c>
      <c r="H1711">
        <v>4016</v>
      </c>
      <c r="I1711">
        <v>6463</v>
      </c>
      <c r="J1711">
        <v>4016</v>
      </c>
      <c r="K1711">
        <v>0.99560836538616582</v>
      </c>
      <c r="L1711">
        <f t="shared" ref="L1711:M1717" ca="1" si="172">E1711*0.621371</f>
        <v>222.450818</v>
      </c>
      <c r="M1711">
        <f t="shared" si="172"/>
        <v>220.58670499999999</v>
      </c>
      <c r="N1711">
        <v>4016</v>
      </c>
      <c r="O1711">
        <f t="shared" ca="1" si="167"/>
        <v>1.0084507042253521</v>
      </c>
    </row>
    <row r="1712" spans="1:15" x14ac:dyDescent="0.2">
      <c r="A1712" t="str">
        <f ca="1">IFERROR(__xludf.DUMMYFUNCTION("""COMPUTED_VALUE"""),"km")</f>
        <v>km</v>
      </c>
      <c r="B1712" t="str">
        <f ca="1">IFERROR(__xludf.DUMMYFUNCTION("""COMPUTED_VALUE"""),"Model S 85D")</f>
        <v>Model S 85D</v>
      </c>
      <c r="C1712">
        <f ca="1">IFERROR(__xludf.DUMMYFUNCTION("""COMPUTED_VALUE"""),430)</f>
        <v>430</v>
      </c>
      <c r="D1712">
        <f ca="1">IFERROR(__xludf.DUMMYFUNCTION("""COMPUTED_VALUE"""),39929)</f>
        <v>39929</v>
      </c>
      <c r="E1712">
        <f ca="1">IFERROR(__xludf.DUMMYFUNCTION("""COMPUTED_VALUE"""),429)</f>
        <v>429</v>
      </c>
      <c r="F1712">
        <v>425</v>
      </c>
      <c r="G1712">
        <v>1.0094117647058825</v>
      </c>
      <c r="H1712">
        <v>24811</v>
      </c>
      <c r="I1712">
        <v>39929</v>
      </c>
      <c r="J1712">
        <v>24811</v>
      </c>
      <c r="K1712">
        <v>0.97408495996259425</v>
      </c>
      <c r="L1712">
        <f t="shared" ca="1" si="172"/>
        <v>266.56815899999998</v>
      </c>
      <c r="M1712">
        <f t="shared" si="172"/>
        <v>264.08267499999999</v>
      </c>
      <c r="N1712">
        <v>24811</v>
      </c>
      <c r="O1712">
        <f t="shared" ca="1" si="167"/>
        <v>1.0094117647058822</v>
      </c>
    </row>
    <row r="1713" spans="1:15" x14ac:dyDescent="0.2">
      <c r="A1713" t="str">
        <f ca="1">IFERROR(__xludf.DUMMYFUNCTION("""COMPUTED_VALUE"""),"km")</f>
        <v>km</v>
      </c>
      <c r="B1713" t="str">
        <f ca="1">IFERROR(__xludf.DUMMYFUNCTION("""COMPUTED_VALUE"""),"Model S P85D")</f>
        <v>Model S P85D</v>
      </c>
      <c r="D1713">
        <f ca="1">IFERROR(__xludf.DUMMYFUNCTION("""COMPUTED_VALUE"""),18610)</f>
        <v>18610</v>
      </c>
      <c r="E1713">
        <f ca="1">IFERROR(__xludf.DUMMYFUNCTION("""COMPUTED_VALUE"""),407)</f>
        <v>407</v>
      </c>
      <c r="F1713">
        <v>403</v>
      </c>
      <c r="G1713">
        <v>1.0099255583126552</v>
      </c>
      <c r="H1713">
        <v>11564</v>
      </c>
      <c r="I1713">
        <v>18610</v>
      </c>
      <c r="J1713">
        <v>11564</v>
      </c>
      <c r="K1713">
        <v>0.98755862643553149</v>
      </c>
      <c r="L1713">
        <f t="shared" ca="1" si="172"/>
        <v>252.897997</v>
      </c>
      <c r="M1713">
        <f t="shared" si="172"/>
        <v>250.41251299999999</v>
      </c>
      <c r="N1713">
        <v>11564</v>
      </c>
      <c r="O1713">
        <f t="shared" ca="1" si="167"/>
        <v>1.0099255583126552</v>
      </c>
    </row>
    <row r="1714" spans="1:15" x14ac:dyDescent="0.2">
      <c r="A1714" t="str">
        <f ca="1">IFERROR(__xludf.DUMMYFUNCTION("""COMPUTED_VALUE"""),"km")</f>
        <v>km</v>
      </c>
      <c r="B1714" t="str">
        <f ca="1">IFERROR(__xludf.DUMMYFUNCTION("""COMPUTED_VALUE"""),"Model S P85D")</f>
        <v>Model S P85D</v>
      </c>
      <c r="D1714">
        <f ca="1">IFERROR(__xludf.DUMMYFUNCTION("""COMPUTED_VALUE"""),13087)</f>
        <v>13087</v>
      </c>
      <c r="E1714">
        <f ca="1">IFERROR(__xludf.DUMMYFUNCTION("""COMPUTED_VALUE"""),407)</f>
        <v>407</v>
      </c>
      <c r="F1714">
        <v>403</v>
      </c>
      <c r="G1714">
        <v>1.0099255583126552</v>
      </c>
      <c r="H1714">
        <v>8132</v>
      </c>
      <c r="I1714">
        <v>13087</v>
      </c>
      <c r="J1714">
        <v>8132</v>
      </c>
      <c r="K1714">
        <v>0.99118547247081779</v>
      </c>
      <c r="L1714">
        <f t="shared" ca="1" si="172"/>
        <v>252.897997</v>
      </c>
      <c r="M1714">
        <f t="shared" si="172"/>
        <v>250.41251299999999</v>
      </c>
      <c r="N1714">
        <v>8132</v>
      </c>
      <c r="O1714">
        <f t="shared" ca="1" si="167"/>
        <v>1.0099255583126552</v>
      </c>
    </row>
    <row r="1715" spans="1:15" x14ac:dyDescent="0.2">
      <c r="A1715" t="str">
        <f ca="1">IFERROR(__xludf.DUMMYFUNCTION("""COMPUTED_VALUE"""),"km")</f>
        <v>km</v>
      </c>
      <c r="B1715" t="str">
        <f ca="1">IFERROR(__xludf.DUMMYFUNCTION("""COMPUTED_VALUE"""),"Model S 85")</f>
        <v>Model S 85</v>
      </c>
      <c r="C1715">
        <f ca="1">IFERROR(__xludf.DUMMYFUNCTION("""COMPUTED_VALUE"""),399)</f>
        <v>399</v>
      </c>
      <c r="D1715">
        <f ca="1">IFERROR(__xludf.DUMMYFUNCTION("""COMPUTED_VALUE"""),5650)</f>
        <v>5650</v>
      </c>
      <c r="E1715">
        <f ca="1">IFERROR(__xludf.DUMMYFUNCTION("""COMPUTED_VALUE"""),399)</f>
        <v>399</v>
      </c>
      <c r="F1715">
        <v>395</v>
      </c>
      <c r="G1715">
        <v>1.0101265822784811</v>
      </c>
      <c r="H1715">
        <v>3511</v>
      </c>
      <c r="I1715">
        <v>5650</v>
      </c>
      <c r="J1715">
        <v>3511</v>
      </c>
      <c r="K1715">
        <v>0.99615667323164492</v>
      </c>
      <c r="L1715">
        <f t="shared" ca="1" si="172"/>
        <v>247.927029</v>
      </c>
      <c r="M1715">
        <f t="shared" si="172"/>
        <v>245.44154499999999</v>
      </c>
      <c r="N1715">
        <v>3511</v>
      </c>
      <c r="O1715">
        <f t="shared" ca="1" si="167"/>
        <v>1.0101265822784811</v>
      </c>
    </row>
    <row r="1716" spans="1:15" x14ac:dyDescent="0.2">
      <c r="A1716" t="str">
        <f ca="1">IFERROR(__xludf.DUMMYFUNCTION("""COMPUTED_VALUE"""),"km")</f>
        <v>km</v>
      </c>
      <c r="B1716" t="str">
        <f ca="1">IFERROR(__xludf.DUMMYFUNCTION("""COMPUTED_VALUE"""),"Model S 85")</f>
        <v>Model S 85</v>
      </c>
      <c r="D1716">
        <f ca="1">IFERROR(__xludf.DUMMYFUNCTION("""COMPUTED_VALUE"""),5500)</f>
        <v>5500</v>
      </c>
      <c r="E1716">
        <f ca="1">IFERROR(__xludf.DUMMYFUNCTION("""COMPUTED_VALUE"""),399)</f>
        <v>399</v>
      </c>
      <c r="F1716">
        <v>395</v>
      </c>
      <c r="G1716">
        <v>1.0101265822784811</v>
      </c>
      <c r="H1716">
        <v>3418</v>
      </c>
      <c r="I1716">
        <v>5500</v>
      </c>
      <c r="J1716">
        <v>3418</v>
      </c>
      <c r="K1716">
        <v>0.99625796715370518</v>
      </c>
      <c r="L1716">
        <f t="shared" ca="1" si="172"/>
        <v>247.927029</v>
      </c>
      <c r="M1716">
        <f t="shared" si="172"/>
        <v>245.44154499999999</v>
      </c>
      <c r="N1716">
        <v>3418</v>
      </c>
      <c r="O1716">
        <f t="shared" ca="1" si="167"/>
        <v>1.0101265822784811</v>
      </c>
    </row>
    <row r="1717" spans="1:15" x14ac:dyDescent="0.2">
      <c r="A1717" t="str">
        <f ca="1">IFERROR(__xludf.DUMMYFUNCTION("""COMPUTED_VALUE"""),"km")</f>
        <v>km</v>
      </c>
      <c r="B1717" t="str">
        <f ca="1">IFERROR(__xludf.DUMMYFUNCTION("""COMPUTED_VALUE"""),"Model S 85")</f>
        <v>Model S 85</v>
      </c>
      <c r="D1717">
        <f ca="1">IFERROR(__xludf.DUMMYFUNCTION("""COMPUTED_VALUE"""),1136)</f>
        <v>1136</v>
      </c>
      <c r="E1717">
        <f ca="1">IFERROR(__xludf.DUMMYFUNCTION("""COMPUTED_VALUE"""),399)</f>
        <v>399</v>
      </c>
      <c r="F1717">
        <v>395</v>
      </c>
      <c r="G1717">
        <v>1.0101265822784811</v>
      </c>
      <c r="H1717">
        <v>706</v>
      </c>
      <c r="I1717">
        <v>1136</v>
      </c>
      <c r="J1717">
        <v>706</v>
      </c>
      <c r="K1717">
        <v>0.99922265317498549</v>
      </c>
      <c r="L1717">
        <f t="shared" ca="1" si="172"/>
        <v>247.927029</v>
      </c>
      <c r="M1717">
        <f t="shared" si="172"/>
        <v>245.44154499999999</v>
      </c>
      <c r="N1717">
        <v>706</v>
      </c>
      <c r="O1717">
        <f t="shared" ca="1" si="167"/>
        <v>1.0101265822784811</v>
      </c>
    </row>
    <row r="1718" spans="1:15" x14ac:dyDescent="0.2">
      <c r="A1718" t="str">
        <f ca="1">IFERROR(__xludf.DUMMYFUNCTION("""COMPUTED_VALUE"""),"mi")</f>
        <v>mi</v>
      </c>
      <c r="B1718" t="str">
        <f ca="1">IFERROR(__xludf.DUMMYFUNCTION("""COMPUTED_VALUE"""),"Model X 100D")</f>
        <v>Model X 100D</v>
      </c>
      <c r="C1718">
        <f ca="1">IFERROR(__xludf.DUMMYFUNCTION("""COMPUTED_VALUE"""),295)</f>
        <v>295</v>
      </c>
      <c r="D1718">
        <f ca="1">IFERROR(__xludf.DUMMYFUNCTION("""COMPUTED_VALUE"""),3405)</f>
        <v>3405</v>
      </c>
      <c r="E1718">
        <f ca="1">IFERROR(__xludf.DUMMYFUNCTION("""COMPUTED_VALUE"""),295)</f>
        <v>295</v>
      </c>
      <c r="F1718">
        <v>292</v>
      </c>
      <c r="G1718">
        <v>1.0102739726027397</v>
      </c>
      <c r="H1718">
        <v>3405</v>
      </c>
      <c r="I1718">
        <v>5480</v>
      </c>
      <c r="J1718">
        <v>3405</v>
      </c>
      <c r="K1718">
        <v>0.99627147607138111</v>
      </c>
      <c r="L1718">
        <f ca="1">IFERROR(__xludf.DUMMYFUNCTION("""COMPUTED_VALUE"""),295)</f>
        <v>295</v>
      </c>
      <c r="M1718">
        <v>292</v>
      </c>
      <c r="N1718">
        <v>3405</v>
      </c>
      <c r="O1718">
        <f t="shared" ca="1" si="167"/>
        <v>1.0102739726027397</v>
      </c>
    </row>
    <row r="1719" spans="1:15" x14ac:dyDescent="0.2">
      <c r="A1719" t="str">
        <f ca="1">IFERROR(__xludf.DUMMYFUNCTION("""COMPUTED_VALUE"""),"mi")</f>
        <v>mi</v>
      </c>
      <c r="B1719" t="str">
        <f ca="1">IFERROR(__xludf.DUMMYFUNCTION("""COMPUTED_VALUE"""),"Model X 100D")</f>
        <v>Model X 100D</v>
      </c>
      <c r="C1719">
        <f ca="1">IFERROR(__xludf.DUMMYFUNCTION("""COMPUTED_VALUE"""),295)</f>
        <v>295</v>
      </c>
      <c r="D1719">
        <f ca="1">IFERROR(__xludf.DUMMYFUNCTION("""COMPUTED_VALUE"""),6592)</f>
        <v>6592</v>
      </c>
      <c r="E1719">
        <f ca="1">IFERROR(__xludf.DUMMYFUNCTION("""COMPUTED_VALUE"""),295)</f>
        <v>295</v>
      </c>
      <c r="F1719">
        <v>292</v>
      </c>
      <c r="G1719">
        <v>1.0102739726027397</v>
      </c>
      <c r="H1719">
        <v>6592</v>
      </c>
      <c r="I1719">
        <v>10609</v>
      </c>
      <c r="J1719">
        <v>6592</v>
      </c>
      <c r="K1719">
        <v>0.99283075293146461</v>
      </c>
      <c r="L1719">
        <f ca="1">IFERROR(__xludf.DUMMYFUNCTION("""COMPUTED_VALUE"""),295)</f>
        <v>295</v>
      </c>
      <c r="M1719">
        <v>292</v>
      </c>
      <c r="N1719">
        <v>6592</v>
      </c>
      <c r="O1719">
        <f t="shared" ca="1" si="167"/>
        <v>1.0102739726027397</v>
      </c>
    </row>
    <row r="1720" spans="1:15" x14ac:dyDescent="0.2">
      <c r="A1720" t="str">
        <f ca="1">IFERROR(__xludf.DUMMYFUNCTION("""COMPUTED_VALUE"""),"km")</f>
        <v>km</v>
      </c>
      <c r="B1720" t="str">
        <f ca="1">IFERROR(__xludf.DUMMYFUNCTION("""COMPUTED_VALUE"""),"Model S P100D")</f>
        <v>Model S P100D</v>
      </c>
      <c r="C1720">
        <f ca="1">IFERROR(__xludf.DUMMYFUNCTION("""COMPUTED_VALUE"""),488)</f>
        <v>488</v>
      </c>
      <c r="D1720">
        <f ca="1">IFERROR(__xludf.DUMMYFUNCTION("""COMPUTED_VALUE"""),320)</f>
        <v>320</v>
      </c>
      <c r="E1720">
        <f ca="1">IFERROR(__xludf.DUMMYFUNCTION("""COMPUTED_VALUE"""),488)</f>
        <v>488</v>
      </c>
      <c r="F1720">
        <v>483</v>
      </c>
      <c r="G1720">
        <v>1.010351966873706</v>
      </c>
      <c r="H1720">
        <v>199</v>
      </c>
      <c r="I1720">
        <v>320</v>
      </c>
      <c r="J1720">
        <v>199</v>
      </c>
      <c r="K1720">
        <v>0.99978079529403441</v>
      </c>
      <c r="L1720">
        <f t="shared" ref="L1720:L1730" ca="1" si="173">E1720*0.621371</f>
        <v>303.22904799999998</v>
      </c>
      <c r="M1720">
        <f t="shared" ref="M1720:M1730" si="174">F1720*0.621371</f>
        <v>300.12219299999998</v>
      </c>
      <c r="N1720">
        <v>199</v>
      </c>
      <c r="O1720">
        <f t="shared" ca="1" si="167"/>
        <v>1.010351966873706</v>
      </c>
    </row>
    <row r="1721" spans="1:15" x14ac:dyDescent="0.2">
      <c r="A1721" t="str">
        <f ca="1">IFERROR(__xludf.DUMMYFUNCTION("""COMPUTED_VALUE"""),"km")</f>
        <v>km</v>
      </c>
      <c r="B1721" t="str">
        <f ca="1">IFERROR(__xludf.DUMMYFUNCTION("""COMPUTED_VALUE"""),"Model S P100D")</f>
        <v>Model S P100D</v>
      </c>
      <c r="C1721">
        <f ca="1">IFERROR(__xludf.DUMMYFUNCTION("""COMPUTED_VALUE"""),488)</f>
        <v>488</v>
      </c>
      <c r="D1721">
        <f ca="1">IFERROR(__xludf.DUMMYFUNCTION("""COMPUTED_VALUE"""),1364)</f>
        <v>1364</v>
      </c>
      <c r="E1721">
        <f ca="1">IFERROR(__xludf.DUMMYFUNCTION("""COMPUTED_VALUE"""),488)</f>
        <v>488</v>
      </c>
      <c r="F1721">
        <v>483</v>
      </c>
      <c r="G1721">
        <v>1.010351966873706</v>
      </c>
      <c r="H1721">
        <v>848</v>
      </c>
      <c r="I1721">
        <v>1364</v>
      </c>
      <c r="J1721">
        <v>848</v>
      </c>
      <c r="K1721">
        <v>0.99906691491023714</v>
      </c>
      <c r="L1721">
        <f t="shared" ca="1" si="173"/>
        <v>303.22904799999998</v>
      </c>
      <c r="M1721">
        <f t="shared" si="174"/>
        <v>300.12219299999998</v>
      </c>
      <c r="N1721">
        <v>848</v>
      </c>
      <c r="O1721">
        <f t="shared" ca="1" si="167"/>
        <v>1.010351966873706</v>
      </c>
    </row>
    <row r="1722" spans="1:15" x14ac:dyDescent="0.2">
      <c r="A1722" t="str">
        <f ca="1">IFERROR(__xludf.DUMMYFUNCTION("""COMPUTED_VALUE"""),"km")</f>
        <v>km</v>
      </c>
      <c r="B1722" t="str">
        <f ca="1">IFERROR(__xludf.DUMMYFUNCTION("""COMPUTED_VALUE"""),"Model S 75D")</f>
        <v>Model S 75D</v>
      </c>
      <c r="C1722">
        <f ca="1">IFERROR(__xludf.DUMMYFUNCTION("""COMPUTED_VALUE"""),384)</f>
        <v>384</v>
      </c>
      <c r="D1722">
        <f ca="1">IFERROR(__xludf.DUMMYFUNCTION("""COMPUTED_VALUE"""),3272)</f>
        <v>3272</v>
      </c>
      <c r="E1722">
        <f ca="1">IFERROR(__xludf.DUMMYFUNCTION("""COMPUTED_VALUE"""),388)</f>
        <v>388</v>
      </c>
      <c r="F1722">
        <v>384</v>
      </c>
      <c r="G1722">
        <v>1.0104166666666667</v>
      </c>
      <c r="H1722">
        <v>2033</v>
      </c>
      <c r="I1722">
        <v>3272</v>
      </c>
      <c r="J1722">
        <v>2033</v>
      </c>
      <c r="K1722">
        <v>0.9977672861081609</v>
      </c>
      <c r="L1722">
        <f t="shared" ca="1" si="173"/>
        <v>241.091948</v>
      </c>
      <c r="M1722">
        <f t="shared" si="174"/>
        <v>238.60646400000002</v>
      </c>
      <c r="N1722">
        <v>2033</v>
      </c>
      <c r="O1722">
        <f t="shared" ca="1" si="167"/>
        <v>1.0104166666666665</v>
      </c>
    </row>
    <row r="1723" spans="1:15" x14ac:dyDescent="0.2">
      <c r="A1723" t="str">
        <f ca="1">IFERROR(__xludf.DUMMYFUNCTION("""COMPUTED_VALUE"""),"km")</f>
        <v>km</v>
      </c>
      <c r="B1723" t="str">
        <f ca="1">IFERROR(__xludf.DUMMYFUNCTION("""COMPUTED_VALUE"""),"Model X 100D")</f>
        <v>Model X 100D</v>
      </c>
      <c r="D1723">
        <f ca="1">IFERROR(__xludf.DUMMYFUNCTION("""COMPUTED_VALUE"""),20690)</f>
        <v>20690</v>
      </c>
      <c r="E1723">
        <f ca="1">IFERROR(__xludf.DUMMYFUNCTION("""COMPUTED_VALUE"""),475)</f>
        <v>475</v>
      </c>
      <c r="F1723">
        <v>470</v>
      </c>
      <c r="G1723">
        <v>1.0106382978723405</v>
      </c>
      <c r="H1723">
        <v>12856</v>
      </c>
      <c r="I1723">
        <v>20690</v>
      </c>
      <c r="J1723">
        <v>12856</v>
      </c>
      <c r="K1723">
        <v>0.98620716448751566</v>
      </c>
      <c r="L1723">
        <f t="shared" ca="1" si="173"/>
        <v>295.15122500000001</v>
      </c>
      <c r="M1723">
        <f t="shared" si="174"/>
        <v>292.04437000000001</v>
      </c>
      <c r="N1723">
        <v>12856</v>
      </c>
      <c r="O1723">
        <f t="shared" ca="1" si="167"/>
        <v>1.0106382978723405</v>
      </c>
    </row>
    <row r="1724" spans="1:15" x14ac:dyDescent="0.2">
      <c r="A1724" t="str">
        <f ca="1">IFERROR(__xludf.DUMMYFUNCTION("""COMPUTED_VALUE"""),"km")</f>
        <v>km</v>
      </c>
      <c r="B1724" t="str">
        <f ca="1">IFERROR(__xludf.DUMMYFUNCTION("""COMPUTED_VALUE"""),"Model S 75")</f>
        <v>Model S 75</v>
      </c>
      <c r="D1724">
        <f ca="1">IFERROR(__xludf.DUMMYFUNCTION("""COMPUTED_VALUE"""),14806)</f>
        <v>14806</v>
      </c>
      <c r="E1724">
        <f ca="1">IFERROR(__xludf.DUMMYFUNCTION("""COMPUTED_VALUE"""),379)</f>
        <v>379</v>
      </c>
      <c r="F1724">
        <v>375</v>
      </c>
      <c r="G1724">
        <v>1.0106666666666666</v>
      </c>
      <c r="H1724">
        <v>9200</v>
      </c>
      <c r="I1724">
        <v>14806</v>
      </c>
      <c r="J1724">
        <v>9200</v>
      </c>
      <c r="K1724">
        <v>0.99005068399533425</v>
      </c>
      <c r="L1724">
        <f t="shared" ca="1" si="173"/>
        <v>235.49960899999999</v>
      </c>
      <c r="M1724">
        <f t="shared" si="174"/>
        <v>233.01412500000001</v>
      </c>
      <c r="N1724">
        <v>9200</v>
      </c>
      <c r="O1724">
        <f t="shared" ca="1" si="167"/>
        <v>1.0106666666666666</v>
      </c>
    </row>
    <row r="1725" spans="1:15" x14ac:dyDescent="0.2">
      <c r="A1725" t="str">
        <f ca="1">IFERROR(__xludf.DUMMYFUNCTION("""COMPUTED_VALUE"""),"km")</f>
        <v>km</v>
      </c>
      <c r="B1725" t="str">
        <f ca="1">IFERROR(__xludf.DUMMYFUNCTION("""COMPUTED_VALUE"""),"Model S 75")</f>
        <v>Model S 75</v>
      </c>
      <c r="D1725">
        <f ca="1">IFERROR(__xludf.DUMMYFUNCTION("""COMPUTED_VALUE"""),8000)</f>
        <v>8000</v>
      </c>
      <c r="E1725">
        <f ca="1">IFERROR(__xludf.DUMMYFUNCTION("""COMPUTED_VALUE"""),379)</f>
        <v>379</v>
      </c>
      <c r="F1725">
        <v>375</v>
      </c>
      <c r="G1725">
        <v>1.0106666666666666</v>
      </c>
      <c r="H1725">
        <v>4971</v>
      </c>
      <c r="I1725">
        <v>8000</v>
      </c>
      <c r="J1725">
        <v>4971</v>
      </c>
      <c r="K1725">
        <v>0.99457503008907677</v>
      </c>
      <c r="L1725">
        <f t="shared" ca="1" si="173"/>
        <v>235.49960899999999</v>
      </c>
      <c r="M1725">
        <f t="shared" si="174"/>
        <v>233.01412500000001</v>
      </c>
      <c r="N1725">
        <v>4971</v>
      </c>
      <c r="O1725">
        <f t="shared" ca="1" si="167"/>
        <v>1.0106666666666666</v>
      </c>
    </row>
    <row r="1726" spans="1:15" x14ac:dyDescent="0.2">
      <c r="A1726" t="str">
        <f ca="1">IFERROR(__xludf.DUMMYFUNCTION("""COMPUTED_VALUE"""),"km")</f>
        <v>km</v>
      </c>
      <c r="B1726" t="str">
        <f ca="1">IFERROR(__xludf.DUMMYFUNCTION("""COMPUTED_VALUE"""),"Model S 70D")</f>
        <v>Model S 70D</v>
      </c>
      <c r="C1726">
        <f ca="1">IFERROR(__xludf.DUMMYFUNCTION("""COMPUTED_VALUE"""),360)</f>
        <v>360</v>
      </c>
      <c r="D1726">
        <f ca="1">IFERROR(__xludf.DUMMYFUNCTION("""COMPUTED_VALUE"""),37124)</f>
        <v>37124</v>
      </c>
      <c r="E1726">
        <f ca="1">IFERROR(__xludf.DUMMYFUNCTION("""COMPUTED_VALUE"""),364)</f>
        <v>364</v>
      </c>
      <c r="F1726">
        <v>360</v>
      </c>
      <c r="G1726">
        <v>1.0111111111111111</v>
      </c>
      <c r="H1726">
        <v>23068</v>
      </c>
      <c r="I1726">
        <v>37124</v>
      </c>
      <c r="J1726">
        <v>23068</v>
      </c>
      <c r="K1726">
        <v>0.97580954727035518</v>
      </c>
      <c r="L1726">
        <f t="shared" ca="1" si="173"/>
        <v>226.179044</v>
      </c>
      <c r="M1726">
        <f t="shared" si="174"/>
        <v>223.69355999999999</v>
      </c>
      <c r="N1726">
        <v>23068</v>
      </c>
      <c r="O1726">
        <f t="shared" ca="1" si="167"/>
        <v>1.0111111111111111</v>
      </c>
    </row>
    <row r="1727" spans="1:15" x14ac:dyDescent="0.2">
      <c r="A1727" t="str">
        <f ca="1">IFERROR(__xludf.DUMMYFUNCTION("""COMPUTED_VALUE"""),"km")</f>
        <v>km</v>
      </c>
      <c r="B1727" t="str">
        <f ca="1">IFERROR(__xludf.DUMMYFUNCTION("""COMPUTED_VALUE"""),"Model S 70D")</f>
        <v>Model S 70D</v>
      </c>
      <c r="C1727">
        <f ca="1">IFERROR(__xludf.DUMMYFUNCTION("""COMPUTED_VALUE"""),361)</f>
        <v>361</v>
      </c>
      <c r="D1727">
        <f ca="1">IFERROR(__xludf.DUMMYFUNCTION("""COMPUTED_VALUE"""),15300)</f>
        <v>15300</v>
      </c>
      <c r="E1727">
        <f ca="1">IFERROR(__xludf.DUMMYFUNCTION("""COMPUTED_VALUE"""),364)</f>
        <v>364</v>
      </c>
      <c r="F1727">
        <v>360</v>
      </c>
      <c r="G1727">
        <v>1.0111111111111111</v>
      </c>
      <c r="H1727">
        <v>9507</v>
      </c>
      <c r="I1727">
        <v>15300</v>
      </c>
      <c r="J1727">
        <v>9507</v>
      </c>
      <c r="K1727">
        <v>0.98972556688503688</v>
      </c>
      <c r="L1727">
        <f t="shared" ca="1" si="173"/>
        <v>226.179044</v>
      </c>
      <c r="M1727">
        <f t="shared" si="174"/>
        <v>223.69355999999999</v>
      </c>
      <c r="N1727">
        <v>9507</v>
      </c>
      <c r="O1727">
        <f t="shared" ca="1" si="167"/>
        <v>1.0111111111111111</v>
      </c>
    </row>
    <row r="1728" spans="1:15" x14ac:dyDescent="0.2">
      <c r="A1728" t="str">
        <f ca="1">IFERROR(__xludf.DUMMYFUNCTION("""COMPUTED_VALUE"""),"km")</f>
        <v>km</v>
      </c>
      <c r="B1728" t="str">
        <f ca="1">IFERROR(__xludf.DUMMYFUNCTION("""COMPUTED_VALUE"""),"Model S 70D")</f>
        <v>Model S 70D</v>
      </c>
      <c r="D1728">
        <f ca="1">IFERROR(__xludf.DUMMYFUNCTION("""COMPUTED_VALUE"""),11680)</f>
        <v>11680</v>
      </c>
      <c r="E1728">
        <f ca="1">IFERROR(__xludf.DUMMYFUNCTION("""COMPUTED_VALUE"""),364)</f>
        <v>364</v>
      </c>
      <c r="F1728">
        <v>360</v>
      </c>
      <c r="G1728">
        <v>1.0111111111111111</v>
      </c>
      <c r="H1728">
        <v>7258</v>
      </c>
      <c r="I1728">
        <v>11680</v>
      </c>
      <c r="J1728">
        <v>7258</v>
      </c>
      <c r="K1728">
        <v>0.99211829065059454</v>
      </c>
      <c r="L1728">
        <f t="shared" ca="1" si="173"/>
        <v>226.179044</v>
      </c>
      <c r="M1728">
        <f t="shared" si="174"/>
        <v>223.69355999999999</v>
      </c>
      <c r="N1728">
        <v>7258</v>
      </c>
      <c r="O1728">
        <f t="shared" ca="1" si="167"/>
        <v>1.0111111111111111</v>
      </c>
    </row>
    <row r="1729" spans="1:15" x14ac:dyDescent="0.2">
      <c r="A1729" t="str">
        <f ca="1">IFERROR(__xludf.DUMMYFUNCTION("""COMPUTED_VALUE"""),"km")</f>
        <v>km</v>
      </c>
      <c r="B1729" t="str">
        <f ca="1">IFERROR(__xludf.DUMMYFUNCTION("""COMPUTED_VALUE"""),"Model S 70D")</f>
        <v>Model S 70D</v>
      </c>
      <c r="D1729">
        <f ca="1">IFERROR(__xludf.DUMMYFUNCTION("""COMPUTED_VALUE"""),3177)</f>
        <v>3177</v>
      </c>
      <c r="E1729">
        <f ca="1">IFERROR(__xludf.DUMMYFUNCTION("""COMPUTED_VALUE"""),364)</f>
        <v>364</v>
      </c>
      <c r="F1729">
        <v>360</v>
      </c>
      <c r="G1729">
        <v>1.0111111111111111</v>
      </c>
      <c r="H1729">
        <v>1974</v>
      </c>
      <c r="I1729">
        <v>3177</v>
      </c>
      <c r="J1729">
        <v>1974</v>
      </c>
      <c r="K1729">
        <v>0.99783184052350038</v>
      </c>
      <c r="L1729">
        <f t="shared" ca="1" si="173"/>
        <v>226.179044</v>
      </c>
      <c r="M1729">
        <f t="shared" si="174"/>
        <v>223.69355999999999</v>
      </c>
      <c r="N1729">
        <v>1974</v>
      </c>
      <c r="O1729">
        <f t="shared" ca="1" si="167"/>
        <v>1.0111111111111111</v>
      </c>
    </row>
    <row r="1730" spans="1:15" x14ac:dyDescent="0.2">
      <c r="A1730" t="str">
        <f ca="1">IFERROR(__xludf.DUMMYFUNCTION("""COMPUTED_VALUE"""),"km")</f>
        <v>km</v>
      </c>
      <c r="B1730" t="str">
        <f ca="1">IFERROR(__xludf.DUMMYFUNCTION("""COMPUTED_VALUE"""),"Model S 70D")</f>
        <v>Model S 70D</v>
      </c>
      <c r="D1730">
        <f ca="1">IFERROR(__xludf.DUMMYFUNCTION("""COMPUTED_VALUE"""),1340)</f>
        <v>1340</v>
      </c>
      <c r="E1730">
        <f ca="1">IFERROR(__xludf.DUMMYFUNCTION("""COMPUTED_VALUE"""),364)</f>
        <v>364</v>
      </c>
      <c r="F1730">
        <v>360</v>
      </c>
      <c r="G1730">
        <v>1.0111111111111111</v>
      </c>
      <c r="H1730">
        <v>833</v>
      </c>
      <c r="I1730">
        <v>1340</v>
      </c>
      <c r="J1730">
        <v>833</v>
      </c>
      <c r="K1730">
        <v>0.99908330402465828</v>
      </c>
      <c r="L1730">
        <f t="shared" ca="1" si="173"/>
        <v>226.179044</v>
      </c>
      <c r="M1730">
        <f t="shared" si="174"/>
        <v>223.69355999999999</v>
      </c>
      <c r="N1730">
        <v>833</v>
      </c>
      <c r="O1730">
        <f t="shared" ref="O1730:O1793" ca="1" si="175">L1730/M1730</f>
        <v>1.0111111111111111</v>
      </c>
    </row>
    <row r="1731" spans="1:15" x14ac:dyDescent="0.2">
      <c r="A1731" t="str">
        <f ca="1">IFERROR(__xludf.DUMMYFUNCTION("""COMPUTED_VALUE"""),"mi")</f>
        <v>mi</v>
      </c>
      <c r="B1731" t="str">
        <f ca="1">IFERROR(__xludf.DUMMYFUNCTION("""COMPUTED_VALUE"""),"Model S 85D")</f>
        <v>Model S 85D</v>
      </c>
      <c r="C1731">
        <f ca="1">IFERROR(__xludf.DUMMYFUNCTION("""COMPUTED_VALUE"""),270)</f>
        <v>270</v>
      </c>
      <c r="D1731">
        <f ca="1">IFERROR(__xludf.DUMMYFUNCTION("""COMPUTED_VALUE"""),823.4)</f>
        <v>823.4</v>
      </c>
      <c r="E1731">
        <f ca="1">IFERROR(__xludf.DUMMYFUNCTION("""COMPUTED_VALUE"""),273)</f>
        <v>273</v>
      </c>
      <c r="F1731">
        <v>270</v>
      </c>
      <c r="G1731">
        <v>1.0111111111111111</v>
      </c>
      <c r="H1731">
        <v>823.4</v>
      </c>
      <c r="I1731">
        <v>1325</v>
      </c>
      <c r="J1731">
        <v>823.4</v>
      </c>
      <c r="K1731">
        <v>0.9990935477454066</v>
      </c>
      <c r="L1731">
        <f ca="1">IFERROR(__xludf.DUMMYFUNCTION("""COMPUTED_VALUE"""),273)</f>
        <v>273</v>
      </c>
      <c r="M1731">
        <v>270</v>
      </c>
      <c r="N1731">
        <v>823.4</v>
      </c>
      <c r="O1731">
        <f t="shared" ca="1" si="175"/>
        <v>1.0111111111111111</v>
      </c>
    </row>
    <row r="1732" spans="1:15" x14ac:dyDescent="0.2">
      <c r="A1732" t="str">
        <f ca="1">IFERROR(__xludf.DUMMYFUNCTION("""COMPUTED_VALUE"""),"km")</f>
        <v>km</v>
      </c>
      <c r="B1732" t="str">
        <f ca="1">IFERROR(__xludf.DUMMYFUNCTION("""COMPUTED_VALUE"""),"Model X 100D")</f>
        <v>Model X 100D</v>
      </c>
      <c r="C1732">
        <f ca="1">IFERROR(__xludf.DUMMYFUNCTION("""COMPUTED_VALUE"""),453)</f>
        <v>453</v>
      </c>
      <c r="D1732">
        <f ca="1">IFERROR(__xludf.DUMMYFUNCTION("""COMPUTED_VALUE"""),2000)</f>
        <v>2000</v>
      </c>
      <c r="E1732">
        <f ca="1">IFERROR(__xludf.DUMMYFUNCTION("""COMPUTED_VALUE"""),453)</f>
        <v>453</v>
      </c>
      <c r="F1732">
        <v>448</v>
      </c>
      <c r="G1732">
        <v>1.0111607142857142</v>
      </c>
      <c r="H1732">
        <v>1243</v>
      </c>
      <c r="I1732">
        <v>2000</v>
      </c>
      <c r="J1732">
        <v>1243</v>
      </c>
      <c r="K1732">
        <v>0.99863297963308328</v>
      </c>
      <c r="L1732">
        <f t="shared" ref="L1732:M1737" ca="1" si="176">E1732*0.621371</f>
        <v>281.48106300000001</v>
      </c>
      <c r="M1732">
        <f t="shared" si="176"/>
        <v>278.37420800000001</v>
      </c>
      <c r="N1732">
        <v>1243</v>
      </c>
      <c r="O1732">
        <f t="shared" ca="1" si="175"/>
        <v>1.0111607142857142</v>
      </c>
    </row>
    <row r="1733" spans="1:15" x14ac:dyDescent="0.2">
      <c r="A1733" t="str">
        <f ca="1">IFERROR(__xludf.DUMMYFUNCTION("""COMPUTED_VALUE"""),"km")</f>
        <v>km</v>
      </c>
      <c r="B1733" t="str">
        <f ca="1">IFERROR(__xludf.DUMMYFUNCTION("""COMPUTED_VALUE"""),"Model X 100D")</f>
        <v>Model X 100D</v>
      </c>
      <c r="C1733">
        <f ca="1">IFERROR(__xludf.DUMMYFUNCTION("""COMPUTED_VALUE"""),453)</f>
        <v>453</v>
      </c>
      <c r="D1733">
        <f ca="1">IFERROR(__xludf.DUMMYFUNCTION("""COMPUTED_VALUE"""),675)</f>
        <v>675</v>
      </c>
      <c r="E1733">
        <f ca="1">IFERROR(__xludf.DUMMYFUNCTION("""COMPUTED_VALUE"""),453)</f>
        <v>453</v>
      </c>
      <c r="F1733">
        <v>448</v>
      </c>
      <c r="G1733">
        <v>1.0111607142857142</v>
      </c>
      <c r="H1733">
        <v>419</v>
      </c>
      <c r="I1733">
        <v>675</v>
      </c>
      <c r="J1733">
        <v>419</v>
      </c>
      <c r="K1733">
        <v>0.99953782956173143</v>
      </c>
      <c r="L1733">
        <f t="shared" ca="1" si="176"/>
        <v>281.48106300000001</v>
      </c>
      <c r="M1733">
        <f t="shared" si="176"/>
        <v>278.37420800000001</v>
      </c>
      <c r="N1733">
        <v>419</v>
      </c>
      <c r="O1733">
        <f t="shared" ca="1" si="175"/>
        <v>1.0111607142857142</v>
      </c>
    </row>
    <row r="1734" spans="1:15" x14ac:dyDescent="0.2">
      <c r="A1734" t="str">
        <f ca="1">IFERROR(__xludf.DUMMYFUNCTION("""COMPUTED_VALUE"""),"km")</f>
        <v>km</v>
      </c>
      <c r="B1734" t="str">
        <f ca="1">IFERROR(__xludf.DUMMYFUNCTION("""COMPUTED_VALUE"""),"Model S 90D")</f>
        <v>Model S 90D</v>
      </c>
      <c r="C1734">
        <f ca="1">IFERROR(__xludf.DUMMYFUNCTION("""COMPUTED_VALUE"""),452)</f>
        <v>452</v>
      </c>
      <c r="D1734">
        <f ca="1">IFERROR(__xludf.DUMMYFUNCTION("""COMPUTED_VALUE"""),4501)</f>
        <v>4501</v>
      </c>
      <c r="E1734">
        <f ca="1">IFERROR(__xludf.DUMMYFUNCTION("""COMPUTED_VALUE"""),452)</f>
        <v>452</v>
      </c>
      <c r="F1734">
        <v>447</v>
      </c>
      <c r="G1734">
        <v>1.0111856823266219</v>
      </c>
      <c r="H1734">
        <v>2797</v>
      </c>
      <c r="I1734">
        <v>4501</v>
      </c>
      <c r="J1734">
        <v>2797</v>
      </c>
      <c r="K1734">
        <v>0.99693361783078815</v>
      </c>
      <c r="L1734">
        <f t="shared" ca="1" si="176"/>
        <v>280.859692</v>
      </c>
      <c r="M1734">
        <f t="shared" si="176"/>
        <v>277.752837</v>
      </c>
      <c r="N1734">
        <v>2797</v>
      </c>
      <c r="O1734">
        <f t="shared" ca="1" si="175"/>
        <v>1.0111856823266219</v>
      </c>
    </row>
    <row r="1735" spans="1:15" x14ac:dyDescent="0.2">
      <c r="A1735" t="str">
        <f ca="1">IFERROR(__xludf.DUMMYFUNCTION("""COMPUTED_VALUE"""),"km")</f>
        <v>km</v>
      </c>
      <c r="B1735" t="str">
        <f ca="1">IFERROR(__xludf.DUMMYFUNCTION("""COMPUTED_VALUE"""),"Model S 70")</f>
        <v>Model S 70</v>
      </c>
      <c r="D1735">
        <f ca="1">IFERROR(__xludf.DUMMYFUNCTION("""COMPUTED_VALUE"""),38020)</f>
        <v>38020</v>
      </c>
      <c r="E1735">
        <f ca="1">IFERROR(__xludf.DUMMYFUNCTION("""COMPUTED_VALUE"""),359)</f>
        <v>359</v>
      </c>
      <c r="F1735">
        <v>355</v>
      </c>
      <c r="G1735">
        <v>1.0112676056338028</v>
      </c>
      <c r="H1735">
        <v>23625</v>
      </c>
      <c r="I1735">
        <v>38020</v>
      </c>
      <c r="J1735">
        <v>23625</v>
      </c>
      <c r="K1735">
        <v>0.9752570644710985</v>
      </c>
      <c r="L1735">
        <f t="shared" ca="1" si="176"/>
        <v>223.07218900000001</v>
      </c>
      <c r="M1735">
        <f t="shared" si="176"/>
        <v>220.58670499999999</v>
      </c>
      <c r="N1735">
        <v>23625</v>
      </c>
      <c r="O1735">
        <f t="shared" ca="1" si="175"/>
        <v>1.0112676056338028</v>
      </c>
    </row>
    <row r="1736" spans="1:15" x14ac:dyDescent="0.2">
      <c r="A1736" t="str">
        <f ca="1">IFERROR(__xludf.DUMMYFUNCTION("""COMPUTED_VALUE"""),"km")</f>
        <v>km</v>
      </c>
      <c r="B1736" t="str">
        <f ca="1">IFERROR(__xludf.DUMMYFUNCTION("""COMPUTED_VALUE"""),"Model S 85D")</f>
        <v>Model S 85D</v>
      </c>
      <c r="C1736">
        <f ca="1">IFERROR(__xludf.DUMMYFUNCTION("""COMPUTED_VALUE"""),430)</f>
        <v>430</v>
      </c>
      <c r="D1736">
        <f ca="1">IFERROR(__xludf.DUMMYFUNCTION("""COMPUTED_VALUE"""),26663)</f>
        <v>26663</v>
      </c>
      <c r="E1736">
        <f ca="1">IFERROR(__xludf.DUMMYFUNCTION("""COMPUTED_VALUE"""),430)</f>
        <v>430</v>
      </c>
      <c r="F1736">
        <v>425</v>
      </c>
      <c r="G1736">
        <v>1.0117647058823529</v>
      </c>
      <c r="H1736">
        <v>16568</v>
      </c>
      <c r="I1736">
        <v>26663</v>
      </c>
      <c r="J1736">
        <v>16568</v>
      </c>
      <c r="K1736">
        <v>0.98237038618448513</v>
      </c>
      <c r="L1736">
        <f t="shared" ca="1" si="176"/>
        <v>267.18952999999999</v>
      </c>
      <c r="M1736">
        <f t="shared" si="176"/>
        <v>264.08267499999999</v>
      </c>
      <c r="N1736">
        <v>16568</v>
      </c>
      <c r="O1736">
        <f t="shared" ca="1" si="175"/>
        <v>1.0117647058823529</v>
      </c>
    </row>
    <row r="1737" spans="1:15" x14ac:dyDescent="0.2">
      <c r="A1737" t="str">
        <f ca="1">IFERROR(__xludf.DUMMYFUNCTION("""COMPUTED_VALUE"""),"km")</f>
        <v>km</v>
      </c>
      <c r="B1737" t="str">
        <f ca="1">IFERROR(__xludf.DUMMYFUNCTION("""COMPUTED_VALUE"""),"Model S 85D")</f>
        <v>Model S 85D</v>
      </c>
      <c r="D1737">
        <f ca="1">IFERROR(__xludf.DUMMYFUNCTION("""COMPUTED_VALUE"""),12000)</f>
        <v>12000</v>
      </c>
      <c r="E1737">
        <f ca="1">IFERROR(__xludf.DUMMYFUNCTION("""COMPUTED_VALUE"""),430)</f>
        <v>430</v>
      </c>
      <c r="F1737">
        <v>425</v>
      </c>
      <c r="G1737">
        <v>1.0117647058823529</v>
      </c>
      <c r="H1737">
        <v>7456</v>
      </c>
      <c r="I1737">
        <v>12000</v>
      </c>
      <c r="J1737">
        <v>7456</v>
      </c>
      <c r="K1737">
        <v>0.99190582024539564</v>
      </c>
      <c r="L1737">
        <f t="shared" ca="1" si="176"/>
        <v>267.18952999999999</v>
      </c>
      <c r="M1737">
        <f t="shared" si="176"/>
        <v>264.08267499999999</v>
      </c>
      <c r="N1737">
        <v>7456</v>
      </c>
      <c r="O1737">
        <f t="shared" ca="1" si="175"/>
        <v>1.0117647058823529</v>
      </c>
    </row>
    <row r="1738" spans="1:15" x14ac:dyDescent="0.2">
      <c r="A1738" t="str">
        <f ca="1">IFERROR(__xludf.DUMMYFUNCTION("""COMPUTED_VALUE"""),"mi")</f>
        <v>mi</v>
      </c>
      <c r="B1738" t="str">
        <f ca="1">IFERROR(__xludf.DUMMYFUNCTION("""COMPUTED_VALUE"""),"Model S P85D")</f>
        <v>Model S P85D</v>
      </c>
      <c r="C1738">
        <f ca="1">IFERROR(__xludf.DUMMYFUNCTION("""COMPUTED_VALUE"""),256)</f>
        <v>256</v>
      </c>
      <c r="D1738">
        <f ca="1">IFERROR(__xludf.DUMMYFUNCTION("""COMPUTED_VALUE"""),5311)</f>
        <v>5311</v>
      </c>
      <c r="E1738">
        <f ca="1">IFERROR(__xludf.DUMMYFUNCTION("""COMPUTED_VALUE"""),256)</f>
        <v>256</v>
      </c>
      <c r="F1738">
        <v>253</v>
      </c>
      <c r="G1738">
        <v>1.0118577075098814</v>
      </c>
      <c r="H1738">
        <v>5311</v>
      </c>
      <c r="I1738">
        <v>8547</v>
      </c>
      <c r="J1738">
        <v>5311</v>
      </c>
      <c r="K1738">
        <v>0.99420830726446052</v>
      </c>
      <c r="L1738">
        <f ca="1">IFERROR(__xludf.DUMMYFUNCTION("""COMPUTED_VALUE"""),256)</f>
        <v>256</v>
      </c>
      <c r="M1738">
        <v>253</v>
      </c>
      <c r="N1738">
        <v>5311</v>
      </c>
      <c r="O1738">
        <f t="shared" ca="1" si="175"/>
        <v>1.0118577075098814</v>
      </c>
    </row>
    <row r="1739" spans="1:15" x14ac:dyDescent="0.2">
      <c r="A1739" t="str">
        <f ca="1">IFERROR(__xludf.DUMMYFUNCTION("""COMPUTED_VALUE"""),"mi")</f>
        <v>mi</v>
      </c>
      <c r="B1739" t="str">
        <f ca="1">IFERROR(__xludf.DUMMYFUNCTION("""COMPUTED_VALUE"""),"Model S 100D")</f>
        <v>Model S 100D</v>
      </c>
      <c r="D1739">
        <f ca="1">IFERROR(__xludf.DUMMYFUNCTION("""COMPUTED_VALUE"""),5923)</f>
        <v>5923</v>
      </c>
      <c r="E1739">
        <f ca="1">IFERROR(__xludf.DUMMYFUNCTION("""COMPUTED_VALUE"""),336)</f>
        <v>336</v>
      </c>
      <c r="F1739">
        <v>332</v>
      </c>
      <c r="G1739">
        <v>1.0120481927710843</v>
      </c>
      <c r="H1739">
        <v>5923</v>
      </c>
      <c r="I1739">
        <v>9532</v>
      </c>
      <c r="J1739">
        <v>5923</v>
      </c>
      <c r="K1739">
        <v>0.99354930161734245</v>
      </c>
      <c r="L1739">
        <f ca="1">IFERROR(__xludf.DUMMYFUNCTION("""COMPUTED_VALUE"""),336)</f>
        <v>336</v>
      </c>
      <c r="M1739">
        <v>332</v>
      </c>
      <c r="N1739">
        <v>5923</v>
      </c>
      <c r="O1739">
        <f t="shared" ca="1" si="175"/>
        <v>1.0120481927710843</v>
      </c>
    </row>
    <row r="1740" spans="1:15" x14ac:dyDescent="0.2">
      <c r="A1740" t="str">
        <f ca="1">IFERROR(__xludf.DUMMYFUNCTION("""COMPUTED_VALUE"""),"km")</f>
        <v>km</v>
      </c>
      <c r="B1740" t="str">
        <f ca="1">IFERROR(__xludf.DUMMYFUNCTION("""COMPUTED_VALUE"""),"Model S P85D")</f>
        <v>Model S P85D</v>
      </c>
      <c r="D1740">
        <f ca="1">IFERROR(__xludf.DUMMYFUNCTION("""COMPUTED_VALUE"""),10843)</f>
        <v>10843</v>
      </c>
      <c r="E1740">
        <f ca="1">IFERROR(__xludf.DUMMYFUNCTION("""COMPUTED_VALUE"""),408)</f>
        <v>408</v>
      </c>
      <c r="F1740">
        <v>403</v>
      </c>
      <c r="G1740">
        <v>1.0124069478908189</v>
      </c>
      <c r="H1740">
        <v>6738</v>
      </c>
      <c r="I1740">
        <v>10843</v>
      </c>
      <c r="J1740">
        <v>6738</v>
      </c>
      <c r="K1740">
        <v>0.99267491144600095</v>
      </c>
      <c r="L1740">
        <f t="shared" ref="L1740:L1749" ca="1" si="177">E1740*0.621371</f>
        <v>253.51936800000001</v>
      </c>
      <c r="M1740">
        <f t="shared" ref="M1740:M1749" si="178">F1740*0.621371</f>
        <v>250.41251299999999</v>
      </c>
      <c r="N1740">
        <v>6738</v>
      </c>
      <c r="O1740">
        <f t="shared" ca="1" si="175"/>
        <v>1.0124069478908189</v>
      </c>
    </row>
    <row r="1741" spans="1:15" x14ac:dyDescent="0.2">
      <c r="A1741" t="str">
        <f ca="1">IFERROR(__xludf.DUMMYFUNCTION("""COMPUTED_VALUE"""),"km")</f>
        <v>km</v>
      </c>
      <c r="B1741" t="str">
        <f ca="1">IFERROR(__xludf.DUMMYFUNCTION("""COMPUTED_VALUE"""),"Model S 75D")</f>
        <v>Model S 75D</v>
      </c>
      <c r="C1741">
        <f ca="1">IFERROR(__xludf.DUMMYFUNCTION("""COMPUTED_VALUE"""),393)</f>
        <v>393</v>
      </c>
      <c r="D1741">
        <f ca="1">IFERROR(__xludf.DUMMYFUNCTION("""COMPUTED_VALUE"""),10245)</f>
        <v>10245</v>
      </c>
      <c r="E1741">
        <f ca="1">IFERROR(__xludf.DUMMYFUNCTION("""COMPUTED_VALUE"""),389)</f>
        <v>389</v>
      </c>
      <c r="F1741">
        <v>384</v>
      </c>
      <c r="G1741">
        <v>1.0130208333333333</v>
      </c>
      <c r="H1741">
        <v>6366</v>
      </c>
      <c r="I1741">
        <v>10245</v>
      </c>
      <c r="J1741">
        <v>6366</v>
      </c>
      <c r="K1741">
        <v>0.99307337013523167</v>
      </c>
      <c r="L1741">
        <f t="shared" ca="1" si="177"/>
        <v>241.71331900000001</v>
      </c>
      <c r="M1741">
        <f t="shared" si="178"/>
        <v>238.60646400000002</v>
      </c>
      <c r="N1741">
        <v>6366</v>
      </c>
      <c r="O1741">
        <f t="shared" ca="1" si="175"/>
        <v>1.0130208333333333</v>
      </c>
    </row>
    <row r="1742" spans="1:15" x14ac:dyDescent="0.2">
      <c r="A1742" t="str">
        <f ca="1">IFERROR(__xludf.DUMMYFUNCTION("""COMPUTED_VALUE"""),"km")</f>
        <v>km</v>
      </c>
      <c r="B1742" t="str">
        <f ca="1">IFERROR(__xludf.DUMMYFUNCTION("""COMPUTED_VALUE"""),"Model S 75D")</f>
        <v>Model S 75D</v>
      </c>
      <c r="C1742">
        <f ca="1">IFERROR(__xludf.DUMMYFUNCTION("""COMPUTED_VALUE"""),389)</f>
        <v>389</v>
      </c>
      <c r="D1742">
        <f ca="1">IFERROR(__xludf.DUMMYFUNCTION("""COMPUTED_VALUE"""),6900)</f>
        <v>6900</v>
      </c>
      <c r="E1742">
        <f ca="1">IFERROR(__xludf.DUMMYFUNCTION("""COMPUTED_VALUE"""),389)</f>
        <v>389</v>
      </c>
      <c r="F1742">
        <v>384</v>
      </c>
      <c r="G1742">
        <v>1.0130208333333333</v>
      </c>
      <c r="H1742">
        <v>4287</v>
      </c>
      <c r="I1742">
        <v>6900</v>
      </c>
      <c r="J1742">
        <v>4287</v>
      </c>
      <c r="K1742">
        <v>0.99531413378281974</v>
      </c>
      <c r="L1742">
        <f t="shared" ca="1" si="177"/>
        <v>241.71331900000001</v>
      </c>
      <c r="M1742">
        <f t="shared" si="178"/>
        <v>238.60646400000002</v>
      </c>
      <c r="N1742">
        <v>4287</v>
      </c>
      <c r="O1742">
        <f t="shared" ca="1" si="175"/>
        <v>1.0130208333333333</v>
      </c>
    </row>
    <row r="1743" spans="1:15" x14ac:dyDescent="0.2">
      <c r="A1743" t="str">
        <f ca="1">IFERROR(__xludf.DUMMYFUNCTION("""COMPUTED_VALUE"""),"km")</f>
        <v>km</v>
      </c>
      <c r="B1743" t="str">
        <f ca="1">IFERROR(__xludf.DUMMYFUNCTION("""COMPUTED_VALUE"""),"Model S 75D")</f>
        <v>Model S 75D</v>
      </c>
      <c r="D1743">
        <f ca="1">IFERROR(__xludf.DUMMYFUNCTION("""COMPUTED_VALUE"""),3200)</f>
        <v>3200</v>
      </c>
      <c r="E1743">
        <f ca="1">IFERROR(__xludf.DUMMYFUNCTION("""COMPUTED_VALUE"""),389)</f>
        <v>389</v>
      </c>
      <c r="F1743">
        <v>384</v>
      </c>
      <c r="G1743">
        <v>1.0130208333333333</v>
      </c>
      <c r="H1743">
        <v>1988</v>
      </c>
      <c r="I1743">
        <v>3200</v>
      </c>
      <c r="J1743">
        <v>1988</v>
      </c>
      <c r="K1743">
        <v>0.99781621007263799</v>
      </c>
      <c r="L1743">
        <f t="shared" ca="1" si="177"/>
        <v>241.71331900000001</v>
      </c>
      <c r="M1743">
        <f t="shared" si="178"/>
        <v>238.60646400000002</v>
      </c>
      <c r="N1743">
        <v>1988</v>
      </c>
      <c r="O1743">
        <f t="shared" ca="1" si="175"/>
        <v>1.0130208333333333</v>
      </c>
    </row>
    <row r="1744" spans="1:15" x14ac:dyDescent="0.2">
      <c r="A1744" t="str">
        <f ca="1">IFERROR(__xludf.DUMMYFUNCTION("""COMPUTED_VALUE"""),"km")</f>
        <v>km</v>
      </c>
      <c r="B1744" t="str">
        <f ca="1">IFERROR(__xludf.DUMMYFUNCTION("""COMPUTED_VALUE"""),"Model S 75")</f>
        <v>Model S 75</v>
      </c>
      <c r="D1744">
        <f ca="1">IFERROR(__xludf.DUMMYFUNCTION("""COMPUTED_VALUE"""),8400)</f>
        <v>8400</v>
      </c>
      <c r="E1744">
        <f ca="1">IFERROR(__xludf.DUMMYFUNCTION("""COMPUTED_VALUE"""),380)</f>
        <v>380</v>
      </c>
      <c r="F1744">
        <v>375</v>
      </c>
      <c r="G1744">
        <v>1.0133333333333334</v>
      </c>
      <c r="H1744">
        <v>5220</v>
      </c>
      <c r="I1744">
        <v>8400</v>
      </c>
      <c r="J1744">
        <v>5220</v>
      </c>
      <c r="K1744">
        <v>0.99430680672227645</v>
      </c>
      <c r="L1744">
        <f t="shared" ca="1" si="177"/>
        <v>236.12098</v>
      </c>
      <c r="M1744">
        <f t="shared" si="178"/>
        <v>233.01412500000001</v>
      </c>
      <c r="N1744">
        <v>5220</v>
      </c>
      <c r="O1744">
        <f t="shared" ca="1" si="175"/>
        <v>1.0133333333333334</v>
      </c>
    </row>
    <row r="1745" spans="1:15" x14ac:dyDescent="0.2">
      <c r="A1745" t="str">
        <f ca="1">IFERROR(__xludf.DUMMYFUNCTION("""COMPUTED_VALUE"""),"km")</f>
        <v>km</v>
      </c>
      <c r="B1745" t="str">
        <f ca="1">IFERROR(__xludf.DUMMYFUNCTION("""COMPUTED_VALUE"""),"Model S 90D")</f>
        <v>Model S 90D</v>
      </c>
      <c r="C1745">
        <f ca="1">IFERROR(__xludf.DUMMYFUNCTION("""COMPUTED_VALUE"""),460)</f>
        <v>460</v>
      </c>
      <c r="D1745">
        <f ca="1">IFERROR(__xludf.DUMMYFUNCTION("""COMPUTED_VALUE"""),13977)</f>
        <v>13977</v>
      </c>
      <c r="E1745">
        <f ca="1">IFERROR(__xludf.DUMMYFUNCTION("""COMPUTED_VALUE"""),453)</f>
        <v>453</v>
      </c>
      <c r="F1745">
        <v>447</v>
      </c>
      <c r="G1745">
        <v>1.0134228187919463</v>
      </c>
      <c r="H1745">
        <v>8685</v>
      </c>
      <c r="I1745">
        <v>13977</v>
      </c>
      <c r="J1745">
        <v>8685</v>
      </c>
      <c r="K1745">
        <v>0.99059727311521428</v>
      </c>
      <c r="L1745">
        <f t="shared" ca="1" si="177"/>
        <v>281.48106300000001</v>
      </c>
      <c r="M1745">
        <f t="shared" si="178"/>
        <v>277.752837</v>
      </c>
      <c r="N1745">
        <v>8685</v>
      </c>
      <c r="O1745">
        <f t="shared" ca="1" si="175"/>
        <v>1.0134228187919463</v>
      </c>
    </row>
    <row r="1746" spans="1:15" x14ac:dyDescent="0.2">
      <c r="A1746" t="str">
        <f ca="1">IFERROR(__xludf.DUMMYFUNCTION("""COMPUTED_VALUE"""),"km")</f>
        <v>km</v>
      </c>
      <c r="B1746" t="str">
        <f ca="1">IFERROR(__xludf.DUMMYFUNCTION("""COMPUTED_VALUE"""),"Model S 90")</f>
        <v>Model S 90</v>
      </c>
      <c r="D1746">
        <f ca="1">IFERROR(__xludf.DUMMYFUNCTION("""COMPUTED_VALUE"""),53900)</f>
        <v>53900</v>
      </c>
      <c r="E1746">
        <f ca="1">IFERROR(__xludf.DUMMYFUNCTION("""COMPUTED_VALUE"""),452)</f>
        <v>452</v>
      </c>
      <c r="F1746">
        <v>446</v>
      </c>
      <c r="G1746">
        <v>1.0134529147982063</v>
      </c>
      <c r="H1746">
        <v>33492</v>
      </c>
      <c r="I1746">
        <v>53900</v>
      </c>
      <c r="J1746">
        <v>33492</v>
      </c>
      <c r="K1746">
        <v>0.96571559313540256</v>
      </c>
      <c r="L1746">
        <f t="shared" ca="1" si="177"/>
        <v>280.859692</v>
      </c>
      <c r="M1746">
        <f t="shared" si="178"/>
        <v>277.13146599999999</v>
      </c>
      <c r="N1746">
        <v>33492</v>
      </c>
      <c r="O1746">
        <f t="shared" ca="1" si="175"/>
        <v>1.0134529147982063</v>
      </c>
    </row>
    <row r="1747" spans="1:15" x14ac:dyDescent="0.2">
      <c r="A1747" t="str">
        <f ca="1">IFERROR(__xludf.DUMMYFUNCTION("""COMPUTED_VALUE"""),"km")</f>
        <v>km</v>
      </c>
      <c r="B1747" t="str">
        <f ca="1">IFERROR(__xludf.DUMMYFUNCTION("""COMPUTED_VALUE"""),"Model S 70D")</f>
        <v>Model S 70D</v>
      </c>
      <c r="C1747">
        <f ca="1">IFERROR(__xludf.DUMMYFUNCTION("""COMPUTED_VALUE"""),360)</f>
        <v>360</v>
      </c>
      <c r="D1747">
        <f ca="1">IFERROR(__xludf.DUMMYFUNCTION("""COMPUTED_VALUE"""),43082)</f>
        <v>43082</v>
      </c>
      <c r="E1747">
        <f ca="1">IFERROR(__xludf.DUMMYFUNCTION("""COMPUTED_VALUE"""),365)</f>
        <v>365</v>
      </c>
      <c r="F1747">
        <v>360</v>
      </c>
      <c r="G1747">
        <v>1.0138888888888888</v>
      </c>
      <c r="H1747">
        <v>26770</v>
      </c>
      <c r="I1747">
        <v>43082</v>
      </c>
      <c r="J1747">
        <v>26770</v>
      </c>
      <c r="K1747">
        <v>0.97216400364842026</v>
      </c>
      <c r="L1747">
        <f t="shared" ca="1" si="177"/>
        <v>226.80041500000002</v>
      </c>
      <c r="M1747">
        <f t="shared" si="178"/>
        <v>223.69355999999999</v>
      </c>
      <c r="N1747">
        <v>26770</v>
      </c>
      <c r="O1747">
        <f t="shared" ca="1" si="175"/>
        <v>1.0138888888888891</v>
      </c>
    </row>
    <row r="1748" spans="1:15" x14ac:dyDescent="0.2">
      <c r="A1748" t="str">
        <f ca="1">IFERROR(__xludf.DUMMYFUNCTION("""COMPUTED_VALUE"""),"km")</f>
        <v>km</v>
      </c>
      <c r="B1748" t="str">
        <f ca="1">IFERROR(__xludf.DUMMYFUNCTION("""COMPUTED_VALUE"""),"Model S 70D")</f>
        <v>Model S 70D</v>
      </c>
      <c r="D1748">
        <f ca="1">IFERROR(__xludf.DUMMYFUNCTION("""COMPUTED_VALUE"""),10000)</f>
        <v>10000</v>
      </c>
      <c r="E1748">
        <f ca="1">IFERROR(__xludf.DUMMYFUNCTION("""COMPUTED_VALUE"""),365)</f>
        <v>365</v>
      </c>
      <c r="F1748">
        <v>360</v>
      </c>
      <c r="G1748">
        <v>1.0138888888888888</v>
      </c>
      <c r="H1748">
        <v>6214</v>
      </c>
      <c r="I1748">
        <v>10000</v>
      </c>
      <c r="J1748">
        <v>6214</v>
      </c>
      <c r="K1748">
        <v>0.99323680524735491</v>
      </c>
      <c r="L1748">
        <f t="shared" ca="1" si="177"/>
        <v>226.80041500000002</v>
      </c>
      <c r="M1748">
        <f t="shared" si="178"/>
        <v>223.69355999999999</v>
      </c>
      <c r="N1748">
        <v>6214</v>
      </c>
      <c r="O1748">
        <f t="shared" ca="1" si="175"/>
        <v>1.0138888888888891</v>
      </c>
    </row>
    <row r="1749" spans="1:15" x14ac:dyDescent="0.2">
      <c r="A1749" t="str">
        <f ca="1">IFERROR(__xludf.DUMMYFUNCTION("""COMPUTED_VALUE"""),"km")</f>
        <v>km</v>
      </c>
      <c r="B1749" t="str">
        <f ca="1">IFERROR(__xludf.DUMMYFUNCTION("""COMPUTED_VALUE"""),"Model S 70")</f>
        <v>Model S 70</v>
      </c>
      <c r="D1749">
        <f ca="1">IFERROR(__xludf.DUMMYFUNCTION("""COMPUTED_VALUE"""),50000)</f>
        <v>50000</v>
      </c>
      <c r="E1749">
        <f ca="1">IFERROR(__xludf.DUMMYFUNCTION("""COMPUTED_VALUE"""),360)</f>
        <v>360</v>
      </c>
      <c r="F1749">
        <v>355</v>
      </c>
      <c r="G1749">
        <v>1.0140845070422535</v>
      </c>
      <c r="H1749">
        <v>31069</v>
      </c>
      <c r="I1749">
        <v>50000</v>
      </c>
      <c r="J1749">
        <v>31069</v>
      </c>
      <c r="K1749">
        <v>0.96801478944655506</v>
      </c>
      <c r="L1749">
        <f t="shared" ca="1" si="177"/>
        <v>223.69355999999999</v>
      </c>
      <c r="M1749">
        <f t="shared" si="178"/>
        <v>220.58670499999999</v>
      </c>
      <c r="N1749">
        <v>31069</v>
      </c>
      <c r="O1749">
        <f t="shared" ca="1" si="175"/>
        <v>1.0140845070422535</v>
      </c>
    </row>
    <row r="1750" spans="1:15" x14ac:dyDescent="0.2">
      <c r="A1750" t="str">
        <f ca="1">IFERROR(__xludf.DUMMYFUNCTION("""COMPUTED_VALUE"""),"mi")</f>
        <v>mi</v>
      </c>
      <c r="B1750" t="str">
        <f ca="1">IFERROR(__xludf.DUMMYFUNCTION("""COMPUTED_VALUE"""),"Model S 60")</f>
        <v>Model S 60</v>
      </c>
      <c r="C1750">
        <f ca="1">IFERROR(__xludf.DUMMYFUNCTION("""COMPUTED_VALUE"""),210)</f>
        <v>210</v>
      </c>
      <c r="D1750">
        <f ca="1">IFERROR(__xludf.DUMMYFUNCTION("""COMPUTED_VALUE"""),8000)</f>
        <v>8000</v>
      </c>
      <c r="E1750">
        <f ca="1">IFERROR(__xludf.DUMMYFUNCTION("""COMPUTED_VALUE"""),210)</f>
        <v>210</v>
      </c>
      <c r="F1750">
        <v>207</v>
      </c>
      <c r="G1750">
        <v>1.0144927536231885</v>
      </c>
      <c r="H1750">
        <v>8000</v>
      </c>
      <c r="I1750">
        <v>12875</v>
      </c>
      <c r="J1750">
        <v>8000</v>
      </c>
      <c r="K1750">
        <v>0.99132579510081786</v>
      </c>
      <c r="L1750">
        <f ca="1">IFERROR(__xludf.DUMMYFUNCTION("""COMPUTED_VALUE"""),210)</f>
        <v>210</v>
      </c>
      <c r="M1750">
        <v>207</v>
      </c>
      <c r="N1750">
        <v>8000</v>
      </c>
      <c r="O1750">
        <f t="shared" ca="1" si="175"/>
        <v>1.0144927536231885</v>
      </c>
    </row>
    <row r="1751" spans="1:15" x14ac:dyDescent="0.2">
      <c r="A1751" t="str">
        <f ca="1">IFERROR(__xludf.DUMMYFUNCTION("""COMPUTED_VALUE"""),"km")</f>
        <v>km</v>
      </c>
      <c r="B1751" t="str">
        <f ca="1">IFERROR(__xludf.DUMMYFUNCTION("""COMPUTED_VALUE"""),"Model S P85D")</f>
        <v>Model S P85D</v>
      </c>
      <c r="C1751">
        <f ca="1">IFERROR(__xludf.DUMMYFUNCTION("""COMPUTED_VALUE"""),404)</f>
        <v>404</v>
      </c>
      <c r="D1751">
        <f ca="1">IFERROR(__xludf.DUMMYFUNCTION("""COMPUTED_VALUE"""),9484)</f>
        <v>9484</v>
      </c>
      <c r="E1751">
        <f ca="1">IFERROR(__xludf.DUMMYFUNCTION("""COMPUTED_VALUE"""),409)</f>
        <v>409</v>
      </c>
      <c r="F1751">
        <v>403</v>
      </c>
      <c r="G1751">
        <v>1.0148883374689825</v>
      </c>
      <c r="H1751">
        <v>5893</v>
      </c>
      <c r="I1751">
        <v>9484</v>
      </c>
      <c r="J1751">
        <v>5893</v>
      </c>
      <c r="K1751">
        <v>0.99358137493327403</v>
      </c>
      <c r="L1751">
        <f t="shared" ref="L1751:L1767" ca="1" si="179">E1751*0.621371</f>
        <v>254.140739</v>
      </c>
      <c r="M1751">
        <f t="shared" ref="M1751:M1767" si="180">F1751*0.621371</f>
        <v>250.41251299999999</v>
      </c>
      <c r="N1751">
        <v>5893</v>
      </c>
      <c r="O1751">
        <f t="shared" ca="1" si="175"/>
        <v>1.0148883374689825</v>
      </c>
    </row>
    <row r="1752" spans="1:15" x14ac:dyDescent="0.2">
      <c r="A1752" t="str">
        <f ca="1">IFERROR(__xludf.DUMMYFUNCTION("""COMPUTED_VALUE"""),"km")</f>
        <v>km</v>
      </c>
      <c r="B1752" t="str">
        <f ca="1">IFERROR(__xludf.DUMMYFUNCTION("""COMPUTED_VALUE"""),"Model S P85D")</f>
        <v>Model S P85D</v>
      </c>
      <c r="D1752">
        <f ca="1">IFERROR(__xludf.DUMMYFUNCTION("""COMPUTED_VALUE"""),4815)</f>
        <v>4815</v>
      </c>
      <c r="E1752">
        <f ca="1">IFERROR(__xludf.DUMMYFUNCTION("""COMPUTED_VALUE"""),409)</f>
        <v>409</v>
      </c>
      <c r="F1752">
        <v>403</v>
      </c>
      <c r="G1752">
        <v>1.0148883374689825</v>
      </c>
      <c r="H1752">
        <v>2992</v>
      </c>
      <c r="I1752">
        <v>4815</v>
      </c>
      <c r="J1752">
        <v>2992</v>
      </c>
      <c r="K1752">
        <v>0.99672105761476104</v>
      </c>
      <c r="L1752">
        <f t="shared" ca="1" si="179"/>
        <v>254.140739</v>
      </c>
      <c r="M1752">
        <f t="shared" si="180"/>
        <v>250.41251299999999</v>
      </c>
      <c r="N1752">
        <v>2992</v>
      </c>
      <c r="O1752">
        <f t="shared" ca="1" si="175"/>
        <v>1.0148883374689825</v>
      </c>
    </row>
    <row r="1753" spans="1:15" x14ac:dyDescent="0.2">
      <c r="A1753" t="str">
        <f ca="1">IFERROR(__xludf.DUMMYFUNCTION("""COMPUTED_VALUE"""),"km")</f>
        <v>km</v>
      </c>
      <c r="B1753" t="str">
        <f ca="1">IFERROR(__xludf.DUMMYFUNCTION("""COMPUTED_VALUE"""),"Model S 85")</f>
        <v>Model S 85</v>
      </c>
      <c r="D1753">
        <f ca="1">IFERROR(__xludf.DUMMYFUNCTION("""COMPUTED_VALUE"""),3400)</f>
        <v>3400</v>
      </c>
      <c r="E1753">
        <f ca="1">IFERROR(__xludf.DUMMYFUNCTION("""COMPUTED_VALUE"""),401)</f>
        <v>401</v>
      </c>
      <c r="F1753">
        <v>395</v>
      </c>
      <c r="G1753">
        <v>1.0151898734177216</v>
      </c>
      <c r="H1753">
        <v>2113</v>
      </c>
      <c r="I1753">
        <v>3400</v>
      </c>
      <c r="J1753">
        <v>2113</v>
      </c>
      <c r="K1753">
        <v>0.9976803331629861</v>
      </c>
      <c r="L1753">
        <f t="shared" ca="1" si="179"/>
        <v>249.169771</v>
      </c>
      <c r="M1753">
        <f t="shared" si="180"/>
        <v>245.44154499999999</v>
      </c>
      <c r="N1753">
        <v>2113</v>
      </c>
      <c r="O1753">
        <f t="shared" ca="1" si="175"/>
        <v>1.0151898734177216</v>
      </c>
    </row>
    <row r="1754" spans="1:15" x14ac:dyDescent="0.2">
      <c r="A1754" t="str">
        <f ca="1">IFERROR(__xludf.DUMMYFUNCTION("""COMPUTED_VALUE"""),"km")</f>
        <v>km</v>
      </c>
      <c r="B1754" t="str">
        <f ca="1">IFERROR(__xludf.DUMMYFUNCTION("""COMPUTED_VALUE"""),"Model X 75D")</f>
        <v>Model X 75D</v>
      </c>
      <c r="D1754">
        <f ca="1">IFERROR(__xludf.DUMMYFUNCTION("""COMPUTED_VALUE"""),7000)</f>
        <v>7000</v>
      </c>
      <c r="E1754">
        <f ca="1">IFERROR(__xludf.DUMMYFUNCTION("""COMPUTED_VALUE"""),334)</f>
        <v>334</v>
      </c>
      <c r="F1754">
        <v>329</v>
      </c>
      <c r="G1754">
        <v>1.0151975683890577</v>
      </c>
      <c r="H1754">
        <v>4350</v>
      </c>
      <c r="I1754">
        <v>7000</v>
      </c>
      <c r="J1754">
        <v>4350</v>
      </c>
      <c r="K1754">
        <v>0.99524685231695964</v>
      </c>
      <c r="L1754">
        <f t="shared" ca="1" si="179"/>
        <v>207.537914</v>
      </c>
      <c r="M1754">
        <f t="shared" si="180"/>
        <v>204.431059</v>
      </c>
      <c r="N1754">
        <v>4350</v>
      </c>
      <c r="O1754">
        <f t="shared" ca="1" si="175"/>
        <v>1.0151975683890577</v>
      </c>
    </row>
    <row r="1755" spans="1:15" x14ac:dyDescent="0.2">
      <c r="A1755" t="str">
        <f ca="1">IFERROR(__xludf.DUMMYFUNCTION("""COMPUTED_VALUE"""),"km")</f>
        <v>km</v>
      </c>
      <c r="B1755" t="str">
        <f ca="1">IFERROR(__xludf.DUMMYFUNCTION("""COMPUTED_VALUE"""),"Model S 75")</f>
        <v>Model S 75</v>
      </c>
      <c r="D1755">
        <f ca="1">IFERROR(__xludf.DUMMYFUNCTION("""COMPUTED_VALUE"""),3164)</f>
        <v>3164</v>
      </c>
      <c r="E1755">
        <f ca="1">IFERROR(__xludf.DUMMYFUNCTION("""COMPUTED_VALUE"""),381)</f>
        <v>381</v>
      </c>
      <c r="F1755">
        <v>375</v>
      </c>
      <c r="G1755">
        <v>1.016</v>
      </c>
      <c r="H1755">
        <v>1966</v>
      </c>
      <c r="I1755">
        <v>3164</v>
      </c>
      <c r="J1755">
        <v>1966</v>
      </c>
      <c r="K1755">
        <v>0.99784067554642553</v>
      </c>
      <c r="L1755">
        <f t="shared" ca="1" si="179"/>
        <v>236.74235100000001</v>
      </c>
      <c r="M1755">
        <f t="shared" si="180"/>
        <v>233.01412500000001</v>
      </c>
      <c r="N1755">
        <v>1966</v>
      </c>
      <c r="O1755">
        <f t="shared" ca="1" si="175"/>
        <v>1.016</v>
      </c>
    </row>
    <row r="1756" spans="1:15" x14ac:dyDescent="0.2">
      <c r="A1756" t="str">
        <f ca="1">IFERROR(__xludf.DUMMYFUNCTION("""COMPUTED_VALUE"""),"km")</f>
        <v>km</v>
      </c>
      <c r="B1756" t="str">
        <f ca="1">IFERROR(__xludf.DUMMYFUNCTION("""COMPUTED_VALUE"""),"Model S 75")</f>
        <v>Model S 75</v>
      </c>
      <c r="C1756">
        <f ca="1">IFERROR(__xludf.DUMMYFUNCTION("""COMPUTED_VALUE"""),384)</f>
        <v>384</v>
      </c>
      <c r="D1756">
        <f ca="1">IFERROR(__xludf.DUMMYFUNCTION("""COMPUTED_VALUE"""),1322)</f>
        <v>1322</v>
      </c>
      <c r="E1756">
        <f ca="1">IFERROR(__xludf.DUMMYFUNCTION("""COMPUTED_VALUE"""),381)</f>
        <v>381</v>
      </c>
      <c r="F1756">
        <v>375</v>
      </c>
      <c r="G1756">
        <v>1.016</v>
      </c>
      <c r="H1756">
        <v>821</v>
      </c>
      <c r="I1756">
        <v>1322</v>
      </c>
      <c r="J1756">
        <v>821</v>
      </c>
      <c r="K1756">
        <v>0.99909559653794644</v>
      </c>
      <c r="L1756">
        <f t="shared" ca="1" si="179"/>
        <v>236.74235100000001</v>
      </c>
      <c r="M1756">
        <f t="shared" si="180"/>
        <v>233.01412500000001</v>
      </c>
      <c r="N1756">
        <v>821</v>
      </c>
      <c r="O1756">
        <f t="shared" ca="1" si="175"/>
        <v>1.016</v>
      </c>
    </row>
    <row r="1757" spans="1:15" x14ac:dyDescent="0.2">
      <c r="A1757" t="str">
        <f ca="1">IFERROR(__xludf.DUMMYFUNCTION("""COMPUTED_VALUE"""),"km")</f>
        <v>km</v>
      </c>
      <c r="B1757" t="str">
        <f ca="1">IFERROR(__xludf.DUMMYFUNCTION("""COMPUTED_VALUE"""),"Model S 70D")</f>
        <v>Model S 70D</v>
      </c>
      <c r="C1757">
        <f ca="1">IFERROR(__xludf.DUMMYFUNCTION("""COMPUTED_VALUE"""),360)</f>
        <v>360</v>
      </c>
      <c r="D1757">
        <f ca="1">IFERROR(__xludf.DUMMYFUNCTION("""COMPUTED_VALUE"""),21045)</f>
        <v>21045</v>
      </c>
      <c r="E1757">
        <f ca="1">IFERROR(__xludf.DUMMYFUNCTION("""COMPUTED_VALUE"""),366)</f>
        <v>366</v>
      </c>
      <c r="F1757">
        <v>360</v>
      </c>
      <c r="G1757">
        <v>1.0166666666666666</v>
      </c>
      <c r="H1757">
        <v>13077</v>
      </c>
      <c r="I1757">
        <v>21045</v>
      </c>
      <c r="J1757">
        <v>13077</v>
      </c>
      <c r="K1757">
        <v>0.98597729764109532</v>
      </c>
      <c r="L1757">
        <f t="shared" ca="1" si="179"/>
        <v>227.421786</v>
      </c>
      <c r="M1757">
        <f t="shared" si="180"/>
        <v>223.69355999999999</v>
      </c>
      <c r="N1757">
        <v>13077</v>
      </c>
      <c r="O1757">
        <f t="shared" ca="1" si="175"/>
        <v>1.0166666666666666</v>
      </c>
    </row>
    <row r="1758" spans="1:15" x14ac:dyDescent="0.2">
      <c r="A1758" t="str">
        <f ca="1">IFERROR(__xludf.DUMMYFUNCTION("""COMPUTED_VALUE"""),"km")</f>
        <v>km</v>
      </c>
      <c r="B1758" t="str">
        <f ca="1">IFERROR(__xludf.DUMMYFUNCTION("""COMPUTED_VALUE"""),"Model S 70D")</f>
        <v>Model S 70D</v>
      </c>
      <c r="C1758">
        <f ca="1">IFERROR(__xludf.DUMMYFUNCTION("""COMPUTED_VALUE"""),360)</f>
        <v>360</v>
      </c>
      <c r="D1758">
        <f ca="1">IFERROR(__xludf.DUMMYFUNCTION("""COMPUTED_VALUE"""),3567)</f>
        <v>3567</v>
      </c>
      <c r="E1758">
        <f ca="1">IFERROR(__xludf.DUMMYFUNCTION("""COMPUTED_VALUE"""),366)</f>
        <v>366</v>
      </c>
      <c r="F1758">
        <v>360</v>
      </c>
      <c r="G1758">
        <v>1.0166666666666666</v>
      </c>
      <c r="H1758">
        <v>2216</v>
      </c>
      <c r="I1758">
        <v>3567</v>
      </c>
      <c r="J1758">
        <v>2216</v>
      </c>
      <c r="K1758">
        <v>0.99756693099397442</v>
      </c>
      <c r="L1758">
        <f t="shared" ca="1" si="179"/>
        <v>227.421786</v>
      </c>
      <c r="M1758">
        <f t="shared" si="180"/>
        <v>223.69355999999999</v>
      </c>
      <c r="N1758">
        <v>2216</v>
      </c>
      <c r="O1758">
        <f t="shared" ca="1" si="175"/>
        <v>1.0166666666666666</v>
      </c>
    </row>
    <row r="1759" spans="1:15" x14ac:dyDescent="0.2">
      <c r="A1759" t="str">
        <f ca="1">IFERROR(__xludf.DUMMYFUNCTION("""COMPUTED_VALUE"""),"km")</f>
        <v>km</v>
      </c>
      <c r="B1759" t="str">
        <f ca="1">IFERROR(__xludf.DUMMYFUNCTION("""COMPUTED_VALUE"""),"Model S 70")</f>
        <v>Model S 70</v>
      </c>
      <c r="C1759">
        <f ca="1">IFERROR(__xludf.DUMMYFUNCTION("""COMPUTED_VALUE"""),362)</f>
        <v>362</v>
      </c>
      <c r="D1759">
        <f ca="1">IFERROR(__xludf.DUMMYFUNCTION("""COMPUTED_VALUE"""),52000)</f>
        <v>52000</v>
      </c>
      <c r="E1759">
        <f ca="1">IFERROR(__xludf.DUMMYFUNCTION("""COMPUTED_VALUE"""),361)</f>
        <v>361</v>
      </c>
      <c r="F1759">
        <v>355</v>
      </c>
      <c r="G1759">
        <v>1.0169014084507042</v>
      </c>
      <c r="H1759">
        <v>32311</v>
      </c>
      <c r="I1759">
        <v>52000</v>
      </c>
      <c r="J1759">
        <v>32311</v>
      </c>
      <c r="K1759">
        <v>0.96683210767396877</v>
      </c>
      <c r="L1759">
        <f t="shared" ca="1" si="179"/>
        <v>224.314931</v>
      </c>
      <c r="M1759">
        <f t="shared" si="180"/>
        <v>220.58670499999999</v>
      </c>
      <c r="N1759">
        <v>32311</v>
      </c>
      <c r="O1759">
        <f t="shared" ca="1" si="175"/>
        <v>1.0169014084507042</v>
      </c>
    </row>
    <row r="1760" spans="1:15" x14ac:dyDescent="0.2">
      <c r="A1760" t="str">
        <f ca="1">IFERROR(__xludf.DUMMYFUNCTION("""COMPUTED_VALUE"""),"km")</f>
        <v>km</v>
      </c>
      <c r="B1760" t="str">
        <f ca="1">IFERROR(__xludf.DUMMYFUNCTION("""COMPUTED_VALUE"""),"Model S P85D")</f>
        <v>Model S P85D</v>
      </c>
      <c r="D1760">
        <f ca="1">IFERROR(__xludf.DUMMYFUNCTION("""COMPUTED_VALUE"""),7339)</f>
        <v>7339</v>
      </c>
      <c r="E1760">
        <f ca="1">IFERROR(__xludf.DUMMYFUNCTION("""COMPUTED_VALUE"""),410)</f>
        <v>410</v>
      </c>
      <c r="F1760">
        <v>403</v>
      </c>
      <c r="G1760">
        <v>1.0173697270471465</v>
      </c>
      <c r="H1760">
        <v>4560</v>
      </c>
      <c r="I1760">
        <v>7339</v>
      </c>
      <c r="J1760">
        <v>4560</v>
      </c>
      <c r="K1760">
        <v>0.9950189023818623</v>
      </c>
      <c r="L1760">
        <f t="shared" ca="1" si="179"/>
        <v>254.76211000000001</v>
      </c>
      <c r="M1760">
        <f t="shared" si="180"/>
        <v>250.41251299999999</v>
      </c>
      <c r="N1760">
        <v>4560</v>
      </c>
      <c r="O1760">
        <f t="shared" ca="1" si="175"/>
        <v>1.0173697270471465</v>
      </c>
    </row>
    <row r="1761" spans="1:15" x14ac:dyDescent="0.2">
      <c r="A1761" t="str">
        <f ca="1">IFERROR(__xludf.DUMMYFUNCTION("""COMPUTED_VALUE"""),"km")</f>
        <v>km</v>
      </c>
      <c r="B1761" t="str">
        <f ca="1">IFERROR(__xludf.DUMMYFUNCTION("""COMPUTED_VALUE"""),"Model S P85D")</f>
        <v>Model S P85D</v>
      </c>
      <c r="D1761">
        <f ca="1">IFERROR(__xludf.DUMMYFUNCTION("""COMPUTED_VALUE"""),5579)</f>
        <v>5579</v>
      </c>
      <c r="E1761">
        <f ca="1">IFERROR(__xludf.DUMMYFUNCTION("""COMPUTED_VALUE"""),410)</f>
        <v>410</v>
      </c>
      <c r="F1761">
        <v>403</v>
      </c>
      <c r="G1761">
        <v>1.0173697270471465</v>
      </c>
      <c r="H1761">
        <v>3467</v>
      </c>
      <c r="I1761">
        <v>5579</v>
      </c>
      <c r="J1761">
        <v>3467</v>
      </c>
      <c r="K1761">
        <v>0.99620461397081894</v>
      </c>
      <c r="L1761">
        <f t="shared" ca="1" si="179"/>
        <v>254.76211000000001</v>
      </c>
      <c r="M1761">
        <f t="shared" si="180"/>
        <v>250.41251299999999</v>
      </c>
      <c r="N1761">
        <v>3467</v>
      </c>
      <c r="O1761">
        <f t="shared" ca="1" si="175"/>
        <v>1.0173697270471465</v>
      </c>
    </row>
    <row r="1762" spans="1:15" x14ac:dyDescent="0.2">
      <c r="A1762" t="str">
        <f ca="1">IFERROR(__xludf.DUMMYFUNCTION("""COMPUTED_VALUE"""),"km")</f>
        <v>km</v>
      </c>
      <c r="B1762" t="str">
        <f ca="1">IFERROR(__xludf.DUMMYFUNCTION("""COMPUTED_VALUE"""),"Model S P85D")</f>
        <v>Model S P85D</v>
      </c>
      <c r="D1762">
        <f ca="1">IFERROR(__xludf.DUMMYFUNCTION("""COMPUTED_VALUE"""),5012)</f>
        <v>5012</v>
      </c>
      <c r="E1762">
        <f ca="1">IFERROR(__xludf.DUMMYFUNCTION("""COMPUTED_VALUE"""),410)</f>
        <v>410</v>
      </c>
      <c r="F1762">
        <v>403</v>
      </c>
      <c r="G1762">
        <v>1.0173697270471465</v>
      </c>
      <c r="H1762">
        <v>3114</v>
      </c>
      <c r="I1762">
        <v>5012</v>
      </c>
      <c r="J1762">
        <v>3114</v>
      </c>
      <c r="K1762">
        <v>0.99658779033508016</v>
      </c>
      <c r="L1762">
        <f t="shared" ca="1" si="179"/>
        <v>254.76211000000001</v>
      </c>
      <c r="M1762">
        <f t="shared" si="180"/>
        <v>250.41251299999999</v>
      </c>
      <c r="N1762">
        <v>3114</v>
      </c>
      <c r="O1762">
        <f t="shared" ca="1" si="175"/>
        <v>1.0173697270471465</v>
      </c>
    </row>
    <row r="1763" spans="1:15" x14ac:dyDescent="0.2">
      <c r="A1763" t="str">
        <f ca="1">IFERROR(__xludf.DUMMYFUNCTION("""COMPUTED_VALUE"""),"km")</f>
        <v>km</v>
      </c>
      <c r="B1763" t="str">
        <f ca="1">IFERROR(__xludf.DUMMYFUNCTION("""COMPUTED_VALUE"""),"Model S P85D")</f>
        <v>Model S P85D</v>
      </c>
      <c r="D1763">
        <f ca="1">IFERROR(__xludf.DUMMYFUNCTION("""COMPUTED_VALUE"""),3772)</f>
        <v>3772</v>
      </c>
      <c r="E1763">
        <f ca="1">IFERROR(__xludf.DUMMYFUNCTION("""COMPUTED_VALUE"""),410)</f>
        <v>410</v>
      </c>
      <c r="F1763">
        <v>403</v>
      </c>
      <c r="G1763">
        <v>1.0173697270471465</v>
      </c>
      <c r="H1763">
        <v>2344</v>
      </c>
      <c r="I1763">
        <v>3772</v>
      </c>
      <c r="J1763">
        <v>2344</v>
      </c>
      <c r="K1763">
        <v>0.99742779325111686</v>
      </c>
      <c r="L1763">
        <f t="shared" ca="1" si="179"/>
        <v>254.76211000000001</v>
      </c>
      <c r="M1763">
        <f t="shared" si="180"/>
        <v>250.41251299999999</v>
      </c>
      <c r="N1763">
        <v>2344</v>
      </c>
      <c r="O1763">
        <f t="shared" ca="1" si="175"/>
        <v>1.0173697270471465</v>
      </c>
    </row>
    <row r="1764" spans="1:15" x14ac:dyDescent="0.2">
      <c r="A1764" t="str">
        <f ca="1">IFERROR(__xludf.DUMMYFUNCTION("""COMPUTED_VALUE"""),"km")</f>
        <v>km</v>
      </c>
      <c r="B1764" t="str">
        <f ca="1">IFERROR(__xludf.DUMMYFUNCTION("""COMPUTED_VALUE"""),"Model X 100D")</f>
        <v>Model X 100D</v>
      </c>
      <c r="C1764">
        <f ca="1">IFERROR(__xludf.DUMMYFUNCTION("""COMPUTED_VALUE"""),453)</f>
        <v>453</v>
      </c>
      <c r="D1764">
        <f ca="1">IFERROR(__xludf.DUMMYFUNCTION("""COMPUTED_VALUE"""),17449)</f>
        <v>17449</v>
      </c>
      <c r="E1764">
        <f ca="1">IFERROR(__xludf.DUMMYFUNCTION("""COMPUTED_VALUE"""),456)</f>
        <v>456</v>
      </c>
      <c r="F1764">
        <v>448</v>
      </c>
      <c r="G1764">
        <v>1.0178571428571428</v>
      </c>
      <c r="H1764">
        <v>10842</v>
      </c>
      <c r="I1764">
        <v>17449</v>
      </c>
      <c r="J1764">
        <v>10842</v>
      </c>
      <c r="K1764">
        <v>0.98831641601494535</v>
      </c>
      <c r="L1764">
        <f t="shared" ca="1" si="179"/>
        <v>283.34517599999998</v>
      </c>
      <c r="M1764">
        <f t="shared" si="180"/>
        <v>278.37420800000001</v>
      </c>
      <c r="N1764">
        <v>10842</v>
      </c>
      <c r="O1764">
        <f t="shared" ca="1" si="175"/>
        <v>1.0178571428571428</v>
      </c>
    </row>
    <row r="1765" spans="1:15" x14ac:dyDescent="0.2">
      <c r="A1765" t="str">
        <f ca="1">IFERROR(__xludf.DUMMYFUNCTION("""COMPUTED_VALUE"""),"km")</f>
        <v>km</v>
      </c>
      <c r="B1765" t="str">
        <f ca="1">IFERROR(__xludf.DUMMYFUNCTION("""COMPUTED_VALUE"""),"Model X 100D")</f>
        <v>Model X 100D</v>
      </c>
      <c r="C1765">
        <f ca="1">IFERROR(__xludf.DUMMYFUNCTION("""COMPUTED_VALUE"""),453)</f>
        <v>453</v>
      </c>
      <c r="D1765">
        <f ca="1">IFERROR(__xludf.DUMMYFUNCTION("""COMPUTED_VALUE"""),14054)</f>
        <v>14054</v>
      </c>
      <c r="E1765">
        <f ca="1">IFERROR(__xludf.DUMMYFUNCTION("""COMPUTED_VALUE"""),456)</f>
        <v>456</v>
      </c>
      <c r="F1765">
        <v>448</v>
      </c>
      <c r="G1765">
        <v>1.0178571428571428</v>
      </c>
      <c r="H1765">
        <v>8733</v>
      </c>
      <c r="I1765">
        <v>14054</v>
      </c>
      <c r="J1765">
        <v>8733</v>
      </c>
      <c r="K1765">
        <v>0.99054645162547661</v>
      </c>
      <c r="L1765">
        <f t="shared" ca="1" si="179"/>
        <v>283.34517599999998</v>
      </c>
      <c r="M1765">
        <f t="shared" si="180"/>
        <v>278.37420800000001</v>
      </c>
      <c r="N1765">
        <v>8733</v>
      </c>
      <c r="O1765">
        <f t="shared" ca="1" si="175"/>
        <v>1.0178571428571428</v>
      </c>
    </row>
    <row r="1766" spans="1:15" x14ac:dyDescent="0.2">
      <c r="A1766" t="str">
        <f ca="1">IFERROR(__xludf.DUMMYFUNCTION("""COMPUTED_VALUE"""),"km")</f>
        <v>km</v>
      </c>
      <c r="B1766" t="str">
        <f ca="1">IFERROR(__xludf.DUMMYFUNCTION("""COMPUTED_VALUE"""),"Model S 90D")</f>
        <v>Model S 90D</v>
      </c>
      <c r="C1766">
        <f ca="1">IFERROR(__xludf.DUMMYFUNCTION("""COMPUTED_VALUE"""),460)</f>
        <v>460</v>
      </c>
      <c r="D1766">
        <f ca="1">IFERROR(__xludf.DUMMYFUNCTION("""COMPUTED_VALUE"""),8600)</f>
        <v>8600</v>
      </c>
      <c r="E1766">
        <f ca="1">IFERROR(__xludf.DUMMYFUNCTION("""COMPUTED_VALUE"""),455)</f>
        <v>455</v>
      </c>
      <c r="F1766">
        <v>447</v>
      </c>
      <c r="G1766">
        <v>1.0178970917225951</v>
      </c>
      <c r="H1766">
        <v>5344</v>
      </c>
      <c r="I1766">
        <v>8600</v>
      </c>
      <c r="J1766">
        <v>5344</v>
      </c>
      <c r="K1766">
        <v>0.99417280343113124</v>
      </c>
      <c r="L1766">
        <f t="shared" ca="1" si="179"/>
        <v>282.72380500000003</v>
      </c>
      <c r="M1766">
        <f t="shared" si="180"/>
        <v>277.752837</v>
      </c>
      <c r="N1766">
        <v>5344</v>
      </c>
      <c r="O1766">
        <f t="shared" ca="1" si="175"/>
        <v>1.0178970917225951</v>
      </c>
    </row>
    <row r="1767" spans="1:15" x14ac:dyDescent="0.2">
      <c r="A1767" t="str">
        <f ca="1">IFERROR(__xludf.DUMMYFUNCTION("""COMPUTED_VALUE"""),"km")</f>
        <v>km</v>
      </c>
      <c r="B1767" t="str">
        <f ca="1">IFERROR(__xludf.DUMMYFUNCTION("""COMPUTED_VALUE"""),"Model 3 SR+")</f>
        <v>Model 3 SR+</v>
      </c>
      <c r="C1767">
        <f ca="1">IFERROR(__xludf.DUMMYFUNCTION("""COMPUTED_VALUE"""),423)</f>
        <v>423</v>
      </c>
      <c r="D1767">
        <f ca="1">IFERROR(__xludf.DUMMYFUNCTION("""COMPUTED_VALUE"""),30126)</f>
        <v>30126</v>
      </c>
      <c r="E1767">
        <f ca="1">IFERROR(__xludf.DUMMYFUNCTION("""COMPUTED_VALUE"""),393)</f>
        <v>393</v>
      </c>
      <c r="F1767">
        <v>386</v>
      </c>
      <c r="G1767">
        <v>1.0181347150259068</v>
      </c>
      <c r="H1767">
        <v>18719</v>
      </c>
      <c r="I1767">
        <v>30126</v>
      </c>
      <c r="J1767">
        <v>18719</v>
      </c>
      <c r="K1767">
        <v>0.980176023648891</v>
      </c>
      <c r="L1767">
        <f t="shared" ca="1" si="179"/>
        <v>244.198803</v>
      </c>
      <c r="M1767">
        <f t="shared" si="180"/>
        <v>239.84920600000001</v>
      </c>
      <c r="N1767">
        <v>18719</v>
      </c>
      <c r="O1767">
        <f t="shared" ca="1" si="175"/>
        <v>1.0181347150259066</v>
      </c>
    </row>
    <row r="1768" spans="1:15" x14ac:dyDescent="0.2">
      <c r="A1768" t="str">
        <f ca="1">IFERROR(__xludf.DUMMYFUNCTION("""COMPUTED_VALUE"""),"mi")</f>
        <v>mi</v>
      </c>
      <c r="B1768" t="str">
        <f ca="1">IFERROR(__xludf.DUMMYFUNCTION("""COMPUTED_VALUE"""),"Model S 85D")</f>
        <v>Model S 85D</v>
      </c>
      <c r="C1768">
        <f ca="1">IFERROR(__xludf.DUMMYFUNCTION("""COMPUTED_VALUE"""),270)</f>
        <v>270</v>
      </c>
      <c r="D1768">
        <f ca="1">IFERROR(__xludf.DUMMYFUNCTION("""COMPUTED_VALUE"""),11000)</f>
        <v>11000</v>
      </c>
      <c r="E1768">
        <f ca="1">IFERROR(__xludf.DUMMYFUNCTION("""COMPUTED_VALUE"""),275)</f>
        <v>275</v>
      </c>
      <c r="F1768">
        <v>270</v>
      </c>
      <c r="G1768">
        <v>1.0185185185185186</v>
      </c>
      <c r="H1768">
        <v>11000</v>
      </c>
      <c r="I1768">
        <v>17703</v>
      </c>
      <c r="J1768">
        <v>11000</v>
      </c>
      <c r="K1768">
        <v>0.98815041877675269</v>
      </c>
      <c r="L1768">
        <f ca="1">IFERROR(__xludf.DUMMYFUNCTION("""COMPUTED_VALUE"""),275)</f>
        <v>275</v>
      </c>
      <c r="M1768">
        <v>270</v>
      </c>
      <c r="N1768">
        <v>11000</v>
      </c>
      <c r="O1768">
        <f t="shared" ca="1" si="175"/>
        <v>1.0185185185185186</v>
      </c>
    </row>
    <row r="1769" spans="1:15" x14ac:dyDescent="0.2">
      <c r="A1769" t="str">
        <f ca="1">IFERROR(__xludf.DUMMYFUNCTION("""COMPUTED_VALUE"""),"km")</f>
        <v>km</v>
      </c>
      <c r="B1769" t="str">
        <f ca="1">IFERROR(__xludf.DUMMYFUNCTION("""COMPUTED_VALUE"""),"Model S 75")</f>
        <v>Model S 75</v>
      </c>
      <c r="C1769">
        <f ca="1">IFERROR(__xludf.DUMMYFUNCTION("""COMPUTED_VALUE"""),384)</f>
        <v>384</v>
      </c>
      <c r="D1769">
        <f ca="1">IFERROR(__xludf.DUMMYFUNCTION("""COMPUTED_VALUE"""),6500)</f>
        <v>6500</v>
      </c>
      <c r="E1769">
        <f ca="1">IFERROR(__xludf.DUMMYFUNCTION("""COMPUTED_VALUE"""),382)</f>
        <v>382</v>
      </c>
      <c r="F1769">
        <v>375</v>
      </c>
      <c r="G1769">
        <v>1.0186666666666666</v>
      </c>
      <c r="H1769">
        <v>4039</v>
      </c>
      <c r="I1769">
        <v>6500</v>
      </c>
      <c r="J1769">
        <v>4039</v>
      </c>
      <c r="K1769">
        <v>0.99558343998580234</v>
      </c>
      <c r="L1769">
        <f ca="1">E1769*0.621371</f>
        <v>237.363722</v>
      </c>
      <c r="M1769">
        <f>F1769*0.621371</f>
        <v>233.01412500000001</v>
      </c>
      <c r="N1769">
        <v>4039</v>
      </c>
      <c r="O1769">
        <f t="shared" ca="1" si="175"/>
        <v>1.0186666666666666</v>
      </c>
    </row>
    <row r="1770" spans="1:15" x14ac:dyDescent="0.2">
      <c r="A1770" t="str">
        <f ca="1">IFERROR(__xludf.DUMMYFUNCTION("""COMPUTED_VALUE"""),"mi")</f>
        <v>mi</v>
      </c>
      <c r="B1770" t="str">
        <f ca="1">IFERROR(__xludf.DUMMYFUNCTION("""COMPUTED_VALUE"""),"Model S 85")</f>
        <v>Model S 85</v>
      </c>
      <c r="D1770">
        <f ca="1">IFERROR(__xludf.DUMMYFUNCTION("""COMPUTED_VALUE"""),2000)</f>
        <v>2000</v>
      </c>
      <c r="E1770">
        <f ca="1">IFERROR(__xludf.DUMMYFUNCTION("""COMPUTED_VALUE"""),271)</f>
        <v>271</v>
      </c>
      <c r="F1770">
        <v>266</v>
      </c>
      <c r="G1770">
        <v>1.018796992481203</v>
      </c>
      <c r="H1770">
        <v>2000</v>
      </c>
      <c r="I1770">
        <v>3219</v>
      </c>
      <c r="J1770">
        <v>2000</v>
      </c>
      <c r="K1770">
        <v>0.99780329867767537</v>
      </c>
      <c r="L1770">
        <f ca="1">IFERROR(__xludf.DUMMYFUNCTION("""COMPUTED_VALUE"""),271)</f>
        <v>271</v>
      </c>
      <c r="M1770">
        <v>266</v>
      </c>
      <c r="N1770">
        <v>2000</v>
      </c>
      <c r="O1770">
        <f t="shared" ca="1" si="175"/>
        <v>1.018796992481203</v>
      </c>
    </row>
    <row r="1771" spans="1:15" x14ac:dyDescent="0.2">
      <c r="A1771" t="str">
        <f ca="1">IFERROR(__xludf.DUMMYFUNCTION("""COMPUTED_VALUE"""),"mi")</f>
        <v>mi</v>
      </c>
      <c r="B1771" t="str">
        <f ca="1">IFERROR(__xludf.DUMMYFUNCTION("""COMPUTED_VALUE"""),"Model S 85")</f>
        <v>Model S 85</v>
      </c>
      <c r="C1771">
        <f ca="1">IFERROR(__xludf.DUMMYFUNCTION("""COMPUTED_VALUE"""),271)</f>
        <v>271</v>
      </c>
      <c r="D1771">
        <f ca="1">IFERROR(__xludf.DUMMYFUNCTION("""COMPUTED_VALUE"""),50)</f>
        <v>50</v>
      </c>
      <c r="E1771">
        <f ca="1">IFERROR(__xludf.DUMMYFUNCTION("""COMPUTED_VALUE"""),271)</f>
        <v>271</v>
      </c>
      <c r="F1771">
        <v>266</v>
      </c>
      <c r="G1771">
        <v>1.018796992481203</v>
      </c>
      <c r="H1771">
        <v>50</v>
      </c>
      <c r="I1771">
        <v>80</v>
      </c>
      <c r="J1771">
        <v>50</v>
      </c>
      <c r="K1771">
        <v>0.99994518164145485</v>
      </c>
      <c r="L1771">
        <f ca="1">IFERROR(__xludf.DUMMYFUNCTION("""COMPUTED_VALUE"""),271)</f>
        <v>271</v>
      </c>
      <c r="M1771">
        <v>266</v>
      </c>
      <c r="N1771">
        <v>50</v>
      </c>
      <c r="O1771">
        <f t="shared" ca="1" si="175"/>
        <v>1.018796992481203</v>
      </c>
    </row>
    <row r="1772" spans="1:15" x14ac:dyDescent="0.2">
      <c r="A1772" t="str">
        <f ca="1">IFERROR(__xludf.DUMMYFUNCTION("""COMPUTED_VALUE"""),"km")</f>
        <v>km</v>
      </c>
      <c r="B1772" t="str">
        <f ca="1">IFERROR(__xludf.DUMMYFUNCTION("""COMPUTED_VALUE"""),"Model X 60D")</f>
        <v>Model X 60D</v>
      </c>
      <c r="D1772">
        <f ca="1">IFERROR(__xludf.DUMMYFUNCTION("""COMPUTED_VALUE"""),3800)</f>
        <v>3800</v>
      </c>
      <c r="E1772">
        <f ca="1">IFERROR(__xludf.DUMMYFUNCTION("""COMPUTED_VALUE"""),323)</f>
        <v>323</v>
      </c>
      <c r="F1772">
        <v>317</v>
      </c>
      <c r="G1772">
        <v>1.0189274447949528</v>
      </c>
      <c r="H1772">
        <v>2361</v>
      </c>
      <c r="I1772">
        <v>3800</v>
      </c>
      <c r="J1772">
        <v>2361</v>
      </c>
      <c r="K1772">
        <v>0.99740879493369916</v>
      </c>
      <c r="L1772">
        <f t="shared" ref="L1772:M1777" ca="1" si="181">E1772*0.621371</f>
        <v>200.702833</v>
      </c>
      <c r="M1772">
        <f t="shared" si="181"/>
        <v>196.97460699999999</v>
      </c>
      <c r="N1772">
        <v>2361</v>
      </c>
      <c r="O1772">
        <f t="shared" ca="1" si="175"/>
        <v>1.0189274447949528</v>
      </c>
    </row>
    <row r="1773" spans="1:15" x14ac:dyDescent="0.2">
      <c r="A1773" t="str">
        <f ca="1">IFERROR(__xludf.DUMMYFUNCTION("""COMPUTED_VALUE"""),"km")</f>
        <v>km</v>
      </c>
      <c r="B1773" t="str">
        <f ca="1">IFERROR(__xludf.DUMMYFUNCTION("""COMPUTED_VALUE"""),"Model S 70D")</f>
        <v>Model S 70D</v>
      </c>
      <c r="C1773">
        <f ca="1">IFERROR(__xludf.DUMMYFUNCTION("""COMPUTED_VALUE"""),362)</f>
        <v>362</v>
      </c>
      <c r="D1773">
        <f ca="1">IFERROR(__xludf.DUMMYFUNCTION("""COMPUTED_VALUE"""),6300)</f>
        <v>6300</v>
      </c>
      <c r="E1773">
        <f ca="1">IFERROR(__xludf.DUMMYFUNCTION("""COMPUTED_VALUE"""),367)</f>
        <v>367</v>
      </c>
      <c r="F1773">
        <v>360</v>
      </c>
      <c r="G1773">
        <v>1.0194444444444444</v>
      </c>
      <c r="H1773">
        <v>3915</v>
      </c>
      <c r="I1773">
        <v>6300</v>
      </c>
      <c r="J1773">
        <v>3915</v>
      </c>
      <c r="K1773">
        <v>0.99571820126235799</v>
      </c>
      <c r="L1773">
        <f t="shared" ca="1" si="181"/>
        <v>228.04315700000001</v>
      </c>
      <c r="M1773">
        <f t="shared" si="181"/>
        <v>223.69355999999999</v>
      </c>
      <c r="N1773">
        <v>3915</v>
      </c>
      <c r="O1773">
        <f t="shared" ca="1" si="175"/>
        <v>1.0194444444444446</v>
      </c>
    </row>
    <row r="1774" spans="1:15" x14ac:dyDescent="0.2">
      <c r="A1774" t="str">
        <f ca="1">IFERROR(__xludf.DUMMYFUNCTION("""COMPUTED_VALUE"""),"km")</f>
        <v>km</v>
      </c>
      <c r="B1774" t="str">
        <f ca="1">IFERROR(__xludf.DUMMYFUNCTION("""COMPUTED_VALUE"""),"Model X 100D")</f>
        <v>Model X 100D</v>
      </c>
      <c r="C1774">
        <f ca="1">IFERROR(__xludf.DUMMYFUNCTION("""COMPUTED_VALUE"""),453)</f>
        <v>453</v>
      </c>
      <c r="D1774">
        <f ca="1">IFERROR(__xludf.DUMMYFUNCTION("""COMPUTED_VALUE"""),8600)</f>
        <v>8600</v>
      </c>
      <c r="E1774">
        <f ca="1">IFERROR(__xludf.DUMMYFUNCTION("""COMPUTED_VALUE"""),457)</f>
        <v>457</v>
      </c>
      <c r="F1774">
        <v>448</v>
      </c>
      <c r="G1774">
        <v>1.0200892857142858</v>
      </c>
      <c r="H1774">
        <v>5344</v>
      </c>
      <c r="I1774">
        <v>8600</v>
      </c>
      <c r="J1774">
        <v>5344</v>
      </c>
      <c r="K1774">
        <v>0.99417280343113124</v>
      </c>
      <c r="L1774">
        <f t="shared" ca="1" si="181"/>
        <v>283.96654699999999</v>
      </c>
      <c r="M1774">
        <f t="shared" si="181"/>
        <v>278.37420800000001</v>
      </c>
      <c r="N1774">
        <v>5344</v>
      </c>
      <c r="O1774">
        <f t="shared" ca="1" si="175"/>
        <v>1.0200892857142856</v>
      </c>
    </row>
    <row r="1775" spans="1:15" x14ac:dyDescent="0.2">
      <c r="A1775" t="str">
        <f ca="1">IFERROR(__xludf.DUMMYFUNCTION("""COMPUTED_VALUE"""),"km")</f>
        <v>km</v>
      </c>
      <c r="B1775" t="str">
        <f ca="1">IFERROR(__xludf.DUMMYFUNCTION("""COMPUTED_VALUE"""),"Model S 90D")</f>
        <v>Model S 90D</v>
      </c>
      <c r="C1775">
        <f ca="1">IFERROR(__xludf.DUMMYFUNCTION("""COMPUTED_VALUE"""),456)</f>
        <v>456</v>
      </c>
      <c r="D1775">
        <f ca="1">IFERROR(__xludf.DUMMYFUNCTION("""COMPUTED_VALUE"""),9500)</f>
        <v>9500</v>
      </c>
      <c r="E1775">
        <f ca="1">IFERROR(__xludf.DUMMYFUNCTION("""COMPUTED_VALUE"""),456)</f>
        <v>456</v>
      </c>
      <c r="F1775">
        <v>447</v>
      </c>
      <c r="G1775">
        <v>1.0201342281879195</v>
      </c>
      <c r="H1775">
        <v>5903</v>
      </c>
      <c r="I1775">
        <v>9500</v>
      </c>
      <c r="J1775">
        <v>5903</v>
      </c>
      <c r="K1775">
        <v>0.99357068336487431</v>
      </c>
      <c r="L1775">
        <f t="shared" ca="1" si="181"/>
        <v>283.34517599999998</v>
      </c>
      <c r="M1775">
        <f t="shared" si="181"/>
        <v>277.752837</v>
      </c>
      <c r="N1775">
        <v>5903</v>
      </c>
      <c r="O1775">
        <f t="shared" ca="1" si="175"/>
        <v>1.0201342281879193</v>
      </c>
    </row>
    <row r="1776" spans="1:15" x14ac:dyDescent="0.2">
      <c r="A1776" t="str">
        <f ca="1">IFERROR(__xludf.DUMMYFUNCTION("""COMPUTED_VALUE"""),"km")</f>
        <v>km</v>
      </c>
      <c r="B1776" t="str">
        <f ca="1">IFERROR(__xludf.DUMMYFUNCTION("""COMPUTED_VALUE"""),"Model S 90D")</f>
        <v>Model S 90D</v>
      </c>
      <c r="C1776">
        <f ca="1">IFERROR(__xludf.DUMMYFUNCTION("""COMPUTED_VALUE"""),456)</f>
        <v>456</v>
      </c>
      <c r="D1776">
        <f ca="1">IFERROR(__xludf.DUMMYFUNCTION("""COMPUTED_VALUE"""),8900)</f>
        <v>8900</v>
      </c>
      <c r="E1776">
        <f ca="1">IFERROR(__xludf.DUMMYFUNCTION("""COMPUTED_VALUE"""),456)</f>
        <v>456</v>
      </c>
      <c r="F1776">
        <v>447</v>
      </c>
      <c r="G1776">
        <v>1.0201342281879195</v>
      </c>
      <c r="H1776">
        <v>5530</v>
      </c>
      <c r="I1776">
        <v>8900</v>
      </c>
      <c r="J1776">
        <v>5530</v>
      </c>
      <c r="K1776">
        <v>0.99397193403088702</v>
      </c>
      <c r="L1776">
        <f t="shared" ca="1" si="181"/>
        <v>283.34517599999998</v>
      </c>
      <c r="M1776">
        <f t="shared" si="181"/>
        <v>277.752837</v>
      </c>
      <c r="N1776">
        <v>5530</v>
      </c>
      <c r="O1776">
        <f t="shared" ca="1" si="175"/>
        <v>1.0201342281879193</v>
      </c>
    </row>
    <row r="1777" spans="1:15" x14ac:dyDescent="0.2">
      <c r="A1777" t="str">
        <f ca="1">IFERROR(__xludf.DUMMYFUNCTION("""COMPUTED_VALUE"""),"km")</f>
        <v>km</v>
      </c>
      <c r="B1777" t="str">
        <f ca="1">IFERROR(__xludf.DUMMYFUNCTION("""COMPUTED_VALUE"""),"Model S 90D")</f>
        <v>Model S 90D</v>
      </c>
      <c r="C1777">
        <f ca="1">IFERROR(__xludf.DUMMYFUNCTION("""COMPUTED_VALUE"""),456)</f>
        <v>456</v>
      </c>
      <c r="D1777">
        <f ca="1">IFERROR(__xludf.DUMMYFUNCTION("""COMPUTED_VALUE"""),1512)</f>
        <v>1512</v>
      </c>
      <c r="E1777">
        <f ca="1">IFERROR(__xludf.DUMMYFUNCTION("""COMPUTED_VALUE"""),456)</f>
        <v>456</v>
      </c>
      <c r="F1777">
        <v>447</v>
      </c>
      <c r="G1777">
        <v>1.0201342281879195</v>
      </c>
      <c r="H1777">
        <v>940</v>
      </c>
      <c r="I1777">
        <v>1512</v>
      </c>
      <c r="J1777">
        <v>940</v>
      </c>
      <c r="K1777">
        <v>0.99896587151810168</v>
      </c>
      <c r="L1777">
        <f t="shared" ca="1" si="181"/>
        <v>283.34517599999998</v>
      </c>
      <c r="M1777">
        <f t="shared" si="181"/>
        <v>277.752837</v>
      </c>
      <c r="N1777">
        <v>940</v>
      </c>
      <c r="O1777">
        <f t="shared" ca="1" si="175"/>
        <v>1.0201342281879193</v>
      </c>
    </row>
    <row r="1778" spans="1:15" x14ac:dyDescent="0.2">
      <c r="A1778" t="str">
        <f ca="1">IFERROR(__xludf.DUMMYFUNCTION("""COMPUTED_VALUE"""),"mi")</f>
        <v>mi</v>
      </c>
      <c r="B1778" t="str">
        <f ca="1">IFERROR(__xludf.DUMMYFUNCTION("""COMPUTED_VALUE"""),"Model X 100D")</f>
        <v>Model X 100D</v>
      </c>
      <c r="D1778">
        <f ca="1">IFERROR(__xludf.DUMMYFUNCTION("""COMPUTED_VALUE"""),3690)</f>
        <v>3690</v>
      </c>
      <c r="E1778">
        <f ca="1">IFERROR(__xludf.DUMMYFUNCTION("""COMPUTED_VALUE"""),298)</f>
        <v>298</v>
      </c>
      <c r="F1778">
        <v>292</v>
      </c>
      <c r="G1778">
        <v>1.0205479452054795</v>
      </c>
      <c r="H1778">
        <v>3690</v>
      </c>
      <c r="I1778">
        <v>5938</v>
      </c>
      <c r="J1778">
        <v>3690</v>
      </c>
      <c r="K1778">
        <v>0.99596230250256712</v>
      </c>
      <c r="L1778">
        <f ca="1">IFERROR(__xludf.DUMMYFUNCTION("""COMPUTED_VALUE"""),298)</f>
        <v>298</v>
      </c>
      <c r="M1778">
        <v>292</v>
      </c>
      <c r="N1778">
        <v>3690</v>
      </c>
      <c r="O1778">
        <f t="shared" ca="1" si="175"/>
        <v>1.0205479452054795</v>
      </c>
    </row>
    <row r="1779" spans="1:15" x14ac:dyDescent="0.2">
      <c r="A1779" t="str">
        <f ca="1">IFERROR(__xludf.DUMMYFUNCTION("""COMPUTED_VALUE"""),"mi")</f>
        <v>mi</v>
      </c>
      <c r="B1779" t="str">
        <f ca="1">IFERROR(__xludf.DUMMYFUNCTION("""COMPUTED_VALUE"""),"Model S 90D")</f>
        <v>Model S 90D</v>
      </c>
      <c r="C1779">
        <f ca="1">IFERROR(__xludf.DUMMYFUNCTION("""COMPUTED_VALUE"""),295)</f>
        <v>295</v>
      </c>
      <c r="D1779">
        <f ca="1">IFERROR(__xludf.DUMMYFUNCTION("""COMPUTED_VALUE"""),5995)</f>
        <v>5995</v>
      </c>
      <c r="E1779">
        <f ca="1">IFERROR(__xludf.DUMMYFUNCTION("""COMPUTED_VALUE"""),298)</f>
        <v>298</v>
      </c>
      <c r="F1779">
        <v>292</v>
      </c>
      <c r="G1779">
        <v>1.0205479452054795</v>
      </c>
      <c r="H1779">
        <v>5995</v>
      </c>
      <c r="I1779">
        <v>9648</v>
      </c>
      <c r="J1779">
        <v>5995</v>
      </c>
      <c r="K1779">
        <v>0.99347180831147086</v>
      </c>
      <c r="L1779">
        <f ca="1">IFERROR(__xludf.DUMMYFUNCTION("""COMPUTED_VALUE"""),298)</f>
        <v>298</v>
      </c>
      <c r="M1779">
        <v>292</v>
      </c>
      <c r="N1779">
        <v>5995</v>
      </c>
      <c r="O1779">
        <f t="shared" ca="1" si="175"/>
        <v>1.0205479452054795</v>
      </c>
    </row>
    <row r="1780" spans="1:15" x14ac:dyDescent="0.2">
      <c r="A1780" t="str">
        <f ca="1">IFERROR(__xludf.DUMMYFUNCTION("""COMPUTED_VALUE"""),"km")</f>
        <v>km</v>
      </c>
      <c r="B1780" t="str">
        <f ca="1">IFERROR(__xludf.DUMMYFUNCTION("""COMPUTED_VALUE"""),"Model S 75D")</f>
        <v>Model S 75D</v>
      </c>
      <c r="C1780">
        <f ca="1">IFERROR(__xludf.DUMMYFUNCTION("""COMPUTED_VALUE"""),393)</f>
        <v>393</v>
      </c>
      <c r="D1780">
        <f ca="1">IFERROR(__xludf.DUMMYFUNCTION("""COMPUTED_VALUE"""),10000)</f>
        <v>10000</v>
      </c>
      <c r="E1780">
        <f ca="1">IFERROR(__xludf.DUMMYFUNCTION("""COMPUTED_VALUE"""),392)</f>
        <v>392</v>
      </c>
      <c r="F1780">
        <v>384</v>
      </c>
      <c r="G1780">
        <v>1.0208333333333333</v>
      </c>
      <c r="H1780">
        <v>6214</v>
      </c>
      <c r="I1780">
        <v>10000</v>
      </c>
      <c r="J1780">
        <v>6214</v>
      </c>
      <c r="K1780">
        <v>0.99323680524735491</v>
      </c>
      <c r="L1780">
        <f t="shared" ref="L1780:M1784" ca="1" si="182">E1780*0.621371</f>
        <v>243.57743200000002</v>
      </c>
      <c r="M1780">
        <f t="shared" si="182"/>
        <v>238.60646400000002</v>
      </c>
      <c r="N1780">
        <v>6214</v>
      </c>
      <c r="O1780">
        <f t="shared" ca="1" si="175"/>
        <v>1.0208333333333333</v>
      </c>
    </row>
    <row r="1781" spans="1:15" x14ac:dyDescent="0.2">
      <c r="A1781" t="str">
        <f ca="1">IFERROR(__xludf.DUMMYFUNCTION("""COMPUTED_VALUE"""),"km")</f>
        <v>km</v>
      </c>
      <c r="B1781" t="str">
        <f ca="1">IFERROR(__xludf.DUMMYFUNCTION("""COMPUTED_VALUE"""),"Model S 75D")</f>
        <v>Model S 75D</v>
      </c>
      <c r="C1781">
        <f ca="1">IFERROR(__xludf.DUMMYFUNCTION("""COMPUTED_VALUE"""),393)</f>
        <v>393</v>
      </c>
      <c r="D1781">
        <f ca="1">IFERROR(__xludf.DUMMYFUNCTION("""COMPUTED_VALUE"""),7100)</f>
        <v>7100</v>
      </c>
      <c r="E1781">
        <f ca="1">IFERROR(__xludf.DUMMYFUNCTION("""COMPUTED_VALUE"""),392)</f>
        <v>392</v>
      </c>
      <c r="F1781">
        <v>384</v>
      </c>
      <c r="G1781">
        <v>1.0208333333333333</v>
      </c>
      <c r="H1781">
        <v>4412</v>
      </c>
      <c r="I1781">
        <v>7100</v>
      </c>
      <c r="J1781">
        <v>4412</v>
      </c>
      <c r="K1781">
        <v>0.99517958888914859</v>
      </c>
      <c r="L1781">
        <f t="shared" ca="1" si="182"/>
        <v>243.57743200000002</v>
      </c>
      <c r="M1781">
        <f t="shared" si="182"/>
        <v>238.60646400000002</v>
      </c>
      <c r="N1781">
        <v>4412</v>
      </c>
      <c r="O1781">
        <f t="shared" ca="1" si="175"/>
        <v>1.0208333333333333</v>
      </c>
    </row>
    <row r="1782" spans="1:15" x14ac:dyDescent="0.2">
      <c r="A1782" t="str">
        <f ca="1">IFERROR(__xludf.DUMMYFUNCTION("""COMPUTED_VALUE"""),"km")</f>
        <v>km</v>
      </c>
      <c r="B1782" t="str">
        <f ca="1">IFERROR(__xludf.DUMMYFUNCTION("""COMPUTED_VALUE"""),"Model S 60")</f>
        <v>Model S 60</v>
      </c>
      <c r="D1782">
        <f ca="1">IFERROR(__xludf.DUMMYFUNCTION("""COMPUTED_VALUE"""),66537)</f>
        <v>66537</v>
      </c>
      <c r="E1782">
        <f ca="1">IFERROR(__xludf.DUMMYFUNCTION("""COMPUTED_VALUE"""),290)</f>
        <v>290</v>
      </c>
      <c r="F1782">
        <v>284</v>
      </c>
      <c r="G1782">
        <v>1.0211267605633803</v>
      </c>
      <c r="H1782">
        <v>41344</v>
      </c>
      <c r="I1782">
        <v>66537</v>
      </c>
      <c r="J1782">
        <v>41344</v>
      </c>
      <c r="K1782">
        <v>0.95846505323904929</v>
      </c>
      <c r="L1782">
        <f t="shared" ca="1" si="182"/>
        <v>180.19758999999999</v>
      </c>
      <c r="M1782">
        <f t="shared" si="182"/>
        <v>176.46936400000001</v>
      </c>
      <c r="N1782">
        <v>41344</v>
      </c>
      <c r="O1782">
        <f t="shared" ca="1" si="175"/>
        <v>1.0211267605633803</v>
      </c>
    </row>
    <row r="1783" spans="1:15" x14ac:dyDescent="0.2">
      <c r="A1783" t="str">
        <f ca="1">IFERROR(__xludf.DUMMYFUNCTION("""COMPUTED_VALUE"""),"km")</f>
        <v>km</v>
      </c>
      <c r="B1783" t="str">
        <f ca="1">IFERROR(__xludf.DUMMYFUNCTION("""COMPUTED_VALUE"""),"Model X 75D")</f>
        <v>Model X 75D</v>
      </c>
      <c r="C1783">
        <f ca="1">IFERROR(__xludf.DUMMYFUNCTION("""COMPUTED_VALUE"""),334)</f>
        <v>334</v>
      </c>
      <c r="D1783">
        <f ca="1">IFERROR(__xludf.DUMMYFUNCTION("""COMPUTED_VALUE"""),120)</f>
        <v>120</v>
      </c>
      <c r="E1783">
        <f ca="1">IFERROR(__xludf.DUMMYFUNCTION("""COMPUTED_VALUE"""),336)</f>
        <v>336</v>
      </c>
      <c r="F1783">
        <v>329</v>
      </c>
      <c r="G1783">
        <v>1.0212765957446808</v>
      </c>
      <c r="H1783">
        <v>75</v>
      </c>
      <c r="I1783">
        <v>120</v>
      </c>
      <c r="J1783">
        <v>75</v>
      </c>
      <c r="K1783">
        <v>0.99991777675737081</v>
      </c>
      <c r="L1783">
        <f t="shared" ca="1" si="182"/>
        <v>208.78065599999999</v>
      </c>
      <c r="M1783">
        <f t="shared" si="182"/>
        <v>204.431059</v>
      </c>
      <c r="N1783">
        <v>75</v>
      </c>
      <c r="O1783">
        <f t="shared" ca="1" si="175"/>
        <v>1.0212765957446808</v>
      </c>
    </row>
    <row r="1784" spans="1:15" x14ac:dyDescent="0.2">
      <c r="A1784" t="str">
        <f ca="1">IFERROR(__xludf.DUMMYFUNCTION("""COMPUTED_VALUE"""),"km")</f>
        <v>km</v>
      </c>
      <c r="B1784" t="str">
        <f ca="1">IFERROR(__xludf.DUMMYFUNCTION("""COMPUTED_VALUE"""),"Model S 75")</f>
        <v>Model S 75</v>
      </c>
      <c r="D1784">
        <f ca="1">IFERROR(__xludf.DUMMYFUNCTION("""COMPUTED_VALUE"""),4752)</f>
        <v>4752</v>
      </c>
      <c r="E1784">
        <f ca="1">IFERROR(__xludf.DUMMYFUNCTION("""COMPUTED_VALUE"""),383)</f>
        <v>383</v>
      </c>
      <c r="F1784">
        <v>375</v>
      </c>
      <c r="G1784">
        <v>1.0213333333333334</v>
      </c>
      <c r="H1784">
        <v>2953</v>
      </c>
      <c r="I1784">
        <v>4752</v>
      </c>
      <c r="J1784">
        <v>2953</v>
      </c>
      <c r="K1784">
        <v>0.99676369082222038</v>
      </c>
      <c r="L1784">
        <f t="shared" ca="1" si="182"/>
        <v>237.98509300000001</v>
      </c>
      <c r="M1784">
        <f t="shared" si="182"/>
        <v>233.01412500000001</v>
      </c>
      <c r="N1784">
        <v>2953</v>
      </c>
      <c r="O1784">
        <f t="shared" ca="1" si="175"/>
        <v>1.0213333333333334</v>
      </c>
    </row>
    <row r="1785" spans="1:15" x14ac:dyDescent="0.2">
      <c r="A1785" t="str">
        <f ca="1">IFERROR(__xludf.DUMMYFUNCTION("""COMPUTED_VALUE"""),"mi")</f>
        <v>mi</v>
      </c>
      <c r="B1785" t="str">
        <f ca="1">IFERROR(__xludf.DUMMYFUNCTION("""COMPUTED_VALUE"""),"Model S 90D 2015")</f>
        <v>Model S 90D 2015</v>
      </c>
      <c r="C1785">
        <f ca="1">IFERROR(__xludf.DUMMYFUNCTION("""COMPUTED_VALUE"""),283)</f>
        <v>283</v>
      </c>
      <c r="D1785">
        <f ca="1">IFERROR(__xludf.DUMMYFUNCTION("""COMPUTED_VALUE"""),975)</f>
        <v>975</v>
      </c>
      <c r="E1785">
        <f ca="1">IFERROR(__xludf.DUMMYFUNCTION("""COMPUTED_VALUE"""),283)</f>
        <v>283</v>
      </c>
      <c r="F1785">
        <v>277</v>
      </c>
      <c r="G1785">
        <v>1.0216606498194947</v>
      </c>
      <c r="H1785">
        <v>975</v>
      </c>
      <c r="I1785">
        <v>1569</v>
      </c>
      <c r="J1785">
        <v>975</v>
      </c>
      <c r="K1785">
        <v>0.99892696663052716</v>
      </c>
      <c r="L1785">
        <f ca="1">IFERROR(__xludf.DUMMYFUNCTION("""COMPUTED_VALUE"""),283)</f>
        <v>283</v>
      </c>
      <c r="M1785">
        <v>277</v>
      </c>
      <c r="N1785">
        <v>975</v>
      </c>
      <c r="O1785">
        <f t="shared" ca="1" si="175"/>
        <v>1.0216606498194947</v>
      </c>
    </row>
    <row r="1786" spans="1:15" x14ac:dyDescent="0.2">
      <c r="A1786" t="str">
        <f ca="1">IFERROR(__xludf.DUMMYFUNCTION("""COMPUTED_VALUE"""),"mi")</f>
        <v>mi</v>
      </c>
      <c r="B1786" t="str">
        <f ca="1">IFERROR(__xludf.DUMMYFUNCTION("""COMPUTED_VALUE"""),"Model S 90D 2015")</f>
        <v>Model S 90D 2015</v>
      </c>
      <c r="D1786">
        <f ca="1">IFERROR(__xludf.DUMMYFUNCTION("""COMPUTED_VALUE"""),864)</f>
        <v>864</v>
      </c>
      <c r="E1786">
        <f ca="1">IFERROR(__xludf.DUMMYFUNCTION("""COMPUTED_VALUE"""),283)</f>
        <v>283</v>
      </c>
      <c r="F1786">
        <v>277</v>
      </c>
      <c r="G1786">
        <v>1.0216606498194947</v>
      </c>
      <c r="H1786">
        <v>864</v>
      </c>
      <c r="I1786">
        <v>1390</v>
      </c>
      <c r="J1786">
        <v>864</v>
      </c>
      <c r="K1786">
        <v>0.99904916120127629</v>
      </c>
      <c r="L1786">
        <f ca="1">IFERROR(__xludf.DUMMYFUNCTION("""COMPUTED_VALUE"""),283)</f>
        <v>283</v>
      </c>
      <c r="M1786">
        <v>277</v>
      </c>
      <c r="N1786">
        <v>864</v>
      </c>
      <c r="O1786">
        <f t="shared" ca="1" si="175"/>
        <v>1.0216606498194947</v>
      </c>
    </row>
    <row r="1787" spans="1:15" x14ac:dyDescent="0.2">
      <c r="A1787" t="str">
        <f ca="1">IFERROR(__xludf.DUMMYFUNCTION("""COMPUTED_VALUE"""),"km")</f>
        <v>km</v>
      </c>
      <c r="B1787" t="str">
        <f ca="1">IFERROR(__xludf.DUMMYFUNCTION("""COMPUTED_VALUE"""),"Model S 70D")</f>
        <v>Model S 70D</v>
      </c>
      <c r="C1787">
        <f ca="1">IFERROR(__xludf.DUMMYFUNCTION("""COMPUTED_VALUE"""),365)</f>
        <v>365</v>
      </c>
      <c r="D1787">
        <f ca="1">IFERROR(__xludf.DUMMYFUNCTION("""COMPUTED_VALUE"""),3000)</f>
        <v>3000</v>
      </c>
      <c r="E1787">
        <f ca="1">IFERROR(__xludf.DUMMYFUNCTION("""COMPUTED_VALUE"""),368)</f>
        <v>368</v>
      </c>
      <c r="F1787">
        <v>360</v>
      </c>
      <c r="G1787">
        <v>1.0222222222222221</v>
      </c>
      <c r="H1787">
        <v>1864</v>
      </c>
      <c r="I1787">
        <v>3000</v>
      </c>
      <c r="J1787">
        <v>1864</v>
      </c>
      <c r="K1787">
        <v>0.99795215882387533</v>
      </c>
      <c r="L1787">
        <f ca="1">E1787*0.621371</f>
        <v>228.66452799999999</v>
      </c>
      <c r="M1787">
        <f>F1787*0.621371</f>
        <v>223.69355999999999</v>
      </c>
      <c r="N1787">
        <v>1864</v>
      </c>
      <c r="O1787">
        <f t="shared" ca="1" si="175"/>
        <v>1.0222222222222221</v>
      </c>
    </row>
    <row r="1788" spans="1:15" x14ac:dyDescent="0.2">
      <c r="A1788" t="str">
        <f ca="1">IFERROR(__xludf.DUMMYFUNCTION("""COMPUTED_VALUE"""),"mi")</f>
        <v>mi</v>
      </c>
      <c r="B1788" t="str">
        <f ca="1">IFERROR(__xludf.DUMMYFUNCTION("""COMPUTED_VALUE"""),"Model S 60")</f>
        <v>Model S 60</v>
      </c>
      <c r="C1788">
        <f ca="1">IFERROR(__xludf.DUMMYFUNCTION("""COMPUTED_VALUE"""),240)</f>
        <v>240</v>
      </c>
      <c r="D1788">
        <f ca="1">IFERROR(__xludf.DUMMYFUNCTION("""COMPUTED_VALUE"""),10500)</f>
        <v>10500</v>
      </c>
      <c r="E1788">
        <f ca="1">IFERROR(__xludf.DUMMYFUNCTION("""COMPUTED_VALUE"""),180)</f>
        <v>180</v>
      </c>
      <c r="F1788">
        <v>176</v>
      </c>
      <c r="G1788">
        <v>1.0227272727272727</v>
      </c>
      <c r="H1788">
        <v>10500</v>
      </c>
      <c r="I1788">
        <v>16898</v>
      </c>
      <c r="J1788">
        <v>10500</v>
      </c>
      <c r="K1788">
        <v>0.98867691715785189</v>
      </c>
      <c r="L1788">
        <f ca="1">IFERROR(__xludf.DUMMYFUNCTION("""COMPUTED_VALUE"""),180)</f>
        <v>180</v>
      </c>
      <c r="M1788">
        <v>176</v>
      </c>
      <c r="N1788">
        <v>10500</v>
      </c>
      <c r="O1788">
        <f t="shared" ca="1" si="175"/>
        <v>1.0227272727272727</v>
      </c>
    </row>
    <row r="1789" spans="1:15" x14ac:dyDescent="0.2">
      <c r="A1789" t="str">
        <f ca="1">IFERROR(__xludf.DUMMYFUNCTION("""COMPUTED_VALUE"""),"km")</f>
        <v>km</v>
      </c>
      <c r="B1789" t="str">
        <f ca="1">IFERROR(__xludf.DUMMYFUNCTION("""COMPUTED_VALUE"""),"Model S 75D")</f>
        <v>Model S 75D</v>
      </c>
      <c r="C1789">
        <f ca="1">IFERROR(__xludf.DUMMYFUNCTION("""COMPUTED_VALUE"""),397)</f>
        <v>397</v>
      </c>
      <c r="D1789">
        <f ca="1">IFERROR(__xludf.DUMMYFUNCTION("""COMPUTED_VALUE"""),9604)</f>
        <v>9604</v>
      </c>
      <c r="E1789">
        <f ca="1">IFERROR(__xludf.DUMMYFUNCTION("""COMPUTED_VALUE"""),393)</f>
        <v>393</v>
      </c>
      <c r="F1789">
        <v>384</v>
      </c>
      <c r="G1789">
        <v>1.0234375</v>
      </c>
      <c r="H1789">
        <v>5968</v>
      </c>
      <c r="I1789">
        <v>9604</v>
      </c>
      <c r="J1789">
        <v>5968</v>
      </c>
      <c r="K1789">
        <v>0.99350119945838644</v>
      </c>
      <c r="L1789">
        <f t="shared" ref="L1789:M1793" ca="1" si="183">E1789*0.621371</f>
        <v>244.198803</v>
      </c>
      <c r="M1789">
        <f t="shared" si="183"/>
        <v>238.60646400000002</v>
      </c>
      <c r="N1789">
        <v>5968</v>
      </c>
      <c r="O1789">
        <f t="shared" ca="1" si="175"/>
        <v>1.0234375</v>
      </c>
    </row>
    <row r="1790" spans="1:15" x14ac:dyDescent="0.2">
      <c r="A1790" t="str">
        <f ca="1">IFERROR(__xludf.DUMMYFUNCTION("""COMPUTED_VALUE"""),"km")</f>
        <v>km</v>
      </c>
      <c r="B1790" t="str">
        <f ca="1">IFERROR(__xludf.DUMMYFUNCTION("""COMPUTED_VALUE"""),"Model S 75D")</f>
        <v>Model S 75D</v>
      </c>
      <c r="C1790">
        <f ca="1">IFERROR(__xludf.DUMMYFUNCTION("""COMPUTED_VALUE"""),393)</f>
        <v>393</v>
      </c>
      <c r="D1790">
        <f ca="1">IFERROR(__xludf.DUMMYFUNCTION("""COMPUTED_VALUE"""),2700)</f>
        <v>2700</v>
      </c>
      <c r="E1790">
        <f ca="1">IFERROR(__xludf.DUMMYFUNCTION("""COMPUTED_VALUE"""),393)</f>
        <v>393</v>
      </c>
      <c r="F1790">
        <v>384</v>
      </c>
      <c r="G1790">
        <v>1.0234375</v>
      </c>
      <c r="H1790">
        <v>1678</v>
      </c>
      <c r="I1790">
        <v>2700</v>
      </c>
      <c r="J1790">
        <v>1678</v>
      </c>
      <c r="K1790">
        <v>0.99815621661802401</v>
      </c>
      <c r="L1790">
        <f t="shared" ca="1" si="183"/>
        <v>244.198803</v>
      </c>
      <c r="M1790">
        <f t="shared" si="183"/>
        <v>238.60646400000002</v>
      </c>
      <c r="N1790">
        <v>1678</v>
      </c>
      <c r="O1790">
        <f t="shared" ca="1" si="175"/>
        <v>1.0234375</v>
      </c>
    </row>
    <row r="1791" spans="1:15" x14ac:dyDescent="0.2">
      <c r="A1791" t="str">
        <f ca="1">IFERROR(__xludf.DUMMYFUNCTION("""COMPUTED_VALUE"""),"km")</f>
        <v>km</v>
      </c>
      <c r="B1791" t="str">
        <f ca="1">IFERROR(__xludf.DUMMYFUNCTION("""COMPUTED_VALUE"""),"Model X 100D")</f>
        <v>Model X 100D</v>
      </c>
      <c r="C1791">
        <f ca="1">IFERROR(__xludf.DUMMYFUNCTION("""COMPUTED_VALUE"""),453)</f>
        <v>453</v>
      </c>
      <c r="D1791">
        <f ca="1">IFERROR(__xludf.DUMMYFUNCTION("""COMPUTED_VALUE"""),1327)</f>
        <v>1327</v>
      </c>
      <c r="E1791">
        <f ca="1">IFERROR(__xludf.DUMMYFUNCTION("""COMPUTED_VALUE"""),459)</f>
        <v>459</v>
      </c>
      <c r="F1791">
        <v>448</v>
      </c>
      <c r="G1791">
        <v>1.0245535714285714</v>
      </c>
      <c r="H1791">
        <v>825</v>
      </c>
      <c r="I1791">
        <v>1327</v>
      </c>
      <c r="J1791">
        <v>825</v>
      </c>
      <c r="K1791">
        <v>0.99909218189267435</v>
      </c>
      <c r="L1791">
        <f t="shared" ca="1" si="183"/>
        <v>285.20928900000001</v>
      </c>
      <c r="M1791">
        <f t="shared" si="183"/>
        <v>278.37420800000001</v>
      </c>
      <c r="N1791">
        <v>825</v>
      </c>
      <c r="O1791">
        <f t="shared" ca="1" si="175"/>
        <v>1.0245535714285714</v>
      </c>
    </row>
    <row r="1792" spans="1:15" x14ac:dyDescent="0.2">
      <c r="A1792" t="str">
        <f ca="1">IFERROR(__xludf.DUMMYFUNCTION("""COMPUTED_VALUE"""),"km")</f>
        <v>km</v>
      </c>
      <c r="B1792" t="str">
        <f ca="1">IFERROR(__xludf.DUMMYFUNCTION("""COMPUTED_VALUE"""),"Model S 90D")</f>
        <v>Model S 90D</v>
      </c>
      <c r="D1792">
        <f ca="1">IFERROR(__xludf.DUMMYFUNCTION("""COMPUTED_VALUE"""),300)</f>
        <v>300</v>
      </c>
      <c r="E1792">
        <f ca="1">IFERROR(__xludf.DUMMYFUNCTION("""COMPUTED_VALUE"""),458)</f>
        <v>458</v>
      </c>
      <c r="F1792">
        <v>447</v>
      </c>
      <c r="G1792">
        <v>1.0246085011185682</v>
      </c>
      <c r="H1792">
        <v>186</v>
      </c>
      <c r="I1792">
        <v>300</v>
      </c>
      <c r="J1792">
        <v>186</v>
      </c>
      <c r="K1792">
        <v>0.99979449021831845</v>
      </c>
      <c r="L1792">
        <f t="shared" ca="1" si="183"/>
        <v>284.587918</v>
      </c>
      <c r="M1792">
        <f t="shared" si="183"/>
        <v>277.752837</v>
      </c>
      <c r="N1792">
        <v>186</v>
      </c>
      <c r="O1792">
        <f t="shared" ca="1" si="175"/>
        <v>1.0246085011185682</v>
      </c>
    </row>
    <row r="1793" spans="1:15" x14ac:dyDescent="0.2">
      <c r="A1793" t="str">
        <f ca="1">IFERROR(__xludf.DUMMYFUNCTION("""COMPUTED_VALUE"""),"km")</f>
        <v>km</v>
      </c>
      <c r="B1793" t="str">
        <f ca="1">IFERROR(__xludf.DUMMYFUNCTION("""COMPUTED_VALUE"""),"Model S 70D")</f>
        <v>Model S 70D</v>
      </c>
      <c r="C1793">
        <f ca="1">IFERROR(__xludf.DUMMYFUNCTION("""COMPUTED_VALUE"""),360)</f>
        <v>360</v>
      </c>
      <c r="D1793">
        <f ca="1">IFERROR(__xludf.DUMMYFUNCTION("""COMPUTED_VALUE"""),13659)</f>
        <v>13659</v>
      </c>
      <c r="E1793">
        <f ca="1">IFERROR(__xludf.DUMMYFUNCTION("""COMPUTED_VALUE"""),369)</f>
        <v>369</v>
      </c>
      <c r="F1793">
        <v>360</v>
      </c>
      <c r="G1793">
        <v>1.0249999999999999</v>
      </c>
      <c r="H1793">
        <v>8487</v>
      </c>
      <c r="I1793">
        <v>13659</v>
      </c>
      <c r="J1793">
        <v>8487</v>
      </c>
      <c r="K1793">
        <v>0.99080727344613417</v>
      </c>
      <c r="L1793">
        <f t="shared" ca="1" si="183"/>
        <v>229.285899</v>
      </c>
      <c r="M1793">
        <f t="shared" si="183"/>
        <v>223.69355999999999</v>
      </c>
      <c r="N1793">
        <v>8487</v>
      </c>
      <c r="O1793">
        <f t="shared" ca="1" si="175"/>
        <v>1.0250000000000001</v>
      </c>
    </row>
    <row r="1794" spans="1:15" x14ac:dyDescent="0.2">
      <c r="A1794" t="str">
        <f ca="1">IFERROR(__xludf.DUMMYFUNCTION("""COMPUTED_VALUE"""),"mi")</f>
        <v>mi</v>
      </c>
      <c r="B1794" t="str">
        <f ca="1">IFERROR(__xludf.DUMMYFUNCTION("""COMPUTED_VALUE"""),"Model S 90D")</f>
        <v>Model S 90D</v>
      </c>
      <c r="C1794">
        <f ca="1">IFERROR(__xludf.DUMMYFUNCTION("""COMPUTED_VALUE"""),295)</f>
        <v>295</v>
      </c>
      <c r="D1794">
        <f ca="1">IFERROR(__xludf.DUMMYFUNCTION("""COMPUTED_VALUE"""),4330)</f>
        <v>4330</v>
      </c>
      <c r="E1794">
        <f ca="1">IFERROR(__xludf.DUMMYFUNCTION("""COMPUTED_VALUE"""),300)</f>
        <v>300</v>
      </c>
      <c r="F1794">
        <v>292</v>
      </c>
      <c r="G1794">
        <v>1.0273972602739727</v>
      </c>
      <c r="H1794">
        <v>4330</v>
      </c>
      <c r="I1794">
        <v>6968</v>
      </c>
      <c r="J1794">
        <v>4330</v>
      </c>
      <c r="K1794">
        <v>0.99526838042359322</v>
      </c>
      <c r="L1794">
        <f ca="1">IFERROR(__xludf.DUMMYFUNCTION("""COMPUTED_VALUE"""),300)</f>
        <v>300</v>
      </c>
      <c r="M1794">
        <v>292</v>
      </c>
      <c r="N1794">
        <v>4330</v>
      </c>
      <c r="O1794">
        <f t="shared" ref="O1794:O1853" ca="1" si="184">L1794/M1794</f>
        <v>1.0273972602739727</v>
      </c>
    </row>
    <row r="1795" spans="1:15" x14ac:dyDescent="0.2">
      <c r="A1795" t="str">
        <f ca="1">IFERROR(__xludf.DUMMYFUNCTION("""COMPUTED_VALUE"""),"km")</f>
        <v>km</v>
      </c>
      <c r="B1795" t="str">
        <f ca="1">IFERROR(__xludf.DUMMYFUNCTION("""COMPUTED_VALUE"""),"Model S 90D")</f>
        <v>Model S 90D</v>
      </c>
      <c r="D1795">
        <f ca="1">IFERROR(__xludf.DUMMYFUNCTION("""COMPUTED_VALUE"""),9911)</f>
        <v>9911</v>
      </c>
      <c r="E1795">
        <f ca="1">IFERROR(__xludf.DUMMYFUNCTION("""COMPUTED_VALUE"""),460)</f>
        <v>460</v>
      </c>
      <c r="F1795">
        <v>447</v>
      </c>
      <c r="G1795">
        <v>1.029082774049217</v>
      </c>
      <c r="H1795">
        <v>6158</v>
      </c>
      <c r="I1795">
        <v>9911</v>
      </c>
      <c r="J1795">
        <v>6158</v>
      </c>
      <c r="K1795">
        <v>0.99329620245640315</v>
      </c>
      <c r="L1795">
        <f t="shared" ref="L1795:L1832" ca="1" si="185">E1795*0.621371</f>
        <v>285.83066000000002</v>
      </c>
      <c r="M1795">
        <f t="shared" ref="M1795:M1832" si="186">F1795*0.621371</f>
        <v>277.752837</v>
      </c>
      <c r="N1795">
        <v>6158</v>
      </c>
      <c r="O1795">
        <f t="shared" ca="1" si="184"/>
        <v>1.029082774049217</v>
      </c>
    </row>
    <row r="1796" spans="1:15" x14ac:dyDescent="0.2">
      <c r="A1796" t="str">
        <f ca="1">IFERROR(__xludf.DUMMYFUNCTION("""COMPUTED_VALUE"""),"km")</f>
        <v>km</v>
      </c>
      <c r="B1796" t="str">
        <f ca="1">IFERROR(__xludf.DUMMYFUNCTION("""COMPUTED_VALUE"""),"Model 3 SR+")</f>
        <v>Model 3 SR+</v>
      </c>
      <c r="D1796">
        <f ca="1">IFERROR(__xludf.DUMMYFUNCTION("""COMPUTED_VALUE"""),5000)</f>
        <v>5000</v>
      </c>
      <c r="E1796">
        <f ca="1">IFERROR(__xludf.DUMMYFUNCTION("""COMPUTED_VALUE"""),398)</f>
        <v>398</v>
      </c>
      <c r="F1796">
        <v>386</v>
      </c>
      <c r="G1796">
        <v>1.0310880829015545</v>
      </c>
      <c r="H1796">
        <v>3107</v>
      </c>
      <c r="I1796">
        <v>5000</v>
      </c>
      <c r="J1796">
        <v>3107</v>
      </c>
      <c r="K1796">
        <v>0.99659590614136695</v>
      </c>
      <c r="L1796">
        <f t="shared" ca="1" si="185"/>
        <v>247.30565799999999</v>
      </c>
      <c r="M1796">
        <f t="shared" si="186"/>
        <v>239.84920600000001</v>
      </c>
      <c r="N1796">
        <v>3107</v>
      </c>
      <c r="O1796">
        <f t="shared" ca="1" si="184"/>
        <v>1.0310880829015543</v>
      </c>
    </row>
    <row r="1797" spans="1:15" x14ac:dyDescent="0.2">
      <c r="A1797" t="str">
        <f ca="1">IFERROR(__xludf.DUMMYFUNCTION("""COMPUTED_VALUE"""),"km")</f>
        <v>km</v>
      </c>
      <c r="B1797" t="str">
        <f ca="1">IFERROR(__xludf.DUMMYFUNCTION("""COMPUTED_VALUE"""),"Model S 90")</f>
        <v>Model S 90</v>
      </c>
      <c r="D1797">
        <f ca="1">IFERROR(__xludf.DUMMYFUNCTION("""COMPUTED_VALUE"""),56500)</f>
        <v>56500</v>
      </c>
      <c r="E1797">
        <f ca="1">IFERROR(__xludf.DUMMYFUNCTION("""COMPUTED_VALUE"""),460)</f>
        <v>460</v>
      </c>
      <c r="F1797">
        <v>446</v>
      </c>
      <c r="G1797">
        <v>1.0313901345291481</v>
      </c>
      <c r="H1797">
        <v>35107</v>
      </c>
      <c r="I1797">
        <v>56500</v>
      </c>
      <c r="J1797">
        <v>35107</v>
      </c>
      <c r="K1797">
        <v>0.9641988634537858</v>
      </c>
      <c r="L1797">
        <f t="shared" ca="1" si="185"/>
        <v>285.83066000000002</v>
      </c>
      <c r="M1797">
        <f t="shared" si="186"/>
        <v>277.13146599999999</v>
      </c>
      <c r="N1797">
        <v>35107</v>
      </c>
      <c r="O1797">
        <f t="shared" ca="1" si="184"/>
        <v>1.0313901345291481</v>
      </c>
    </row>
    <row r="1798" spans="1:15" x14ac:dyDescent="0.2">
      <c r="A1798" t="str">
        <f ca="1">IFERROR(__xludf.DUMMYFUNCTION("""COMPUTED_VALUE"""),"km")</f>
        <v>km</v>
      </c>
      <c r="B1798" t="str">
        <f ca="1">IFERROR(__xludf.DUMMYFUNCTION("""COMPUTED_VALUE"""),"Model S P85")</f>
        <v>Model S P85</v>
      </c>
      <c r="C1798">
        <f ca="1">IFERROR(__xludf.DUMMYFUNCTION("""COMPUTED_VALUE"""),411)</f>
        <v>411</v>
      </c>
      <c r="D1798">
        <f ca="1">IFERROR(__xludf.DUMMYFUNCTION("""COMPUTED_VALUE"""),64103)</f>
        <v>64103</v>
      </c>
      <c r="E1798">
        <f ca="1">IFERROR(__xludf.DUMMYFUNCTION("""COMPUTED_VALUE"""),408)</f>
        <v>408</v>
      </c>
      <c r="F1798">
        <v>395</v>
      </c>
      <c r="G1798">
        <v>1.0329113924050632</v>
      </c>
      <c r="H1798">
        <v>39832</v>
      </c>
      <c r="I1798">
        <v>64103</v>
      </c>
      <c r="J1798">
        <v>39832</v>
      </c>
      <c r="K1798">
        <v>0.95983774444325554</v>
      </c>
      <c r="L1798">
        <f t="shared" ca="1" si="185"/>
        <v>253.51936800000001</v>
      </c>
      <c r="M1798">
        <f t="shared" si="186"/>
        <v>245.44154499999999</v>
      </c>
      <c r="N1798">
        <v>39832</v>
      </c>
      <c r="O1798">
        <f t="shared" ca="1" si="184"/>
        <v>1.0329113924050635</v>
      </c>
    </row>
    <row r="1799" spans="1:15" x14ac:dyDescent="0.2">
      <c r="A1799" t="str">
        <f ca="1">IFERROR(__xludf.DUMMYFUNCTION("""COMPUTED_VALUE"""),"km")</f>
        <v>km</v>
      </c>
      <c r="B1799" t="str">
        <f ca="1">IFERROR(__xludf.DUMMYFUNCTION("""COMPUTED_VALUE"""),"Model S 70")</f>
        <v>Model S 70</v>
      </c>
      <c r="D1799">
        <f ca="1">IFERROR(__xludf.DUMMYFUNCTION("""COMPUTED_VALUE"""),7080)</f>
        <v>7080</v>
      </c>
      <c r="E1799">
        <f ca="1">IFERROR(__xludf.DUMMYFUNCTION("""COMPUTED_VALUE"""),367)</f>
        <v>367</v>
      </c>
      <c r="F1799">
        <v>355</v>
      </c>
      <c r="G1799">
        <v>1.0338028169014084</v>
      </c>
      <c r="H1799">
        <v>4399</v>
      </c>
      <c r="I1799">
        <v>7080</v>
      </c>
      <c r="J1799">
        <v>4399</v>
      </c>
      <c r="K1799">
        <v>0.99519304013156895</v>
      </c>
      <c r="L1799">
        <f t="shared" ca="1" si="185"/>
        <v>228.04315700000001</v>
      </c>
      <c r="M1799">
        <f t="shared" si="186"/>
        <v>220.58670499999999</v>
      </c>
      <c r="N1799">
        <v>4399</v>
      </c>
      <c r="O1799">
        <f t="shared" ca="1" si="184"/>
        <v>1.0338028169014084</v>
      </c>
    </row>
    <row r="1800" spans="1:15" x14ac:dyDescent="0.2">
      <c r="A1800" t="str">
        <f ca="1">IFERROR(__xludf.DUMMYFUNCTION("""COMPUTED_VALUE"""),"km")</f>
        <v>km</v>
      </c>
      <c r="B1800" t="str">
        <f ca="1">IFERROR(__xludf.DUMMYFUNCTION("""COMPUTED_VALUE"""),"Model S 70")</f>
        <v>Model S 70</v>
      </c>
      <c r="D1800">
        <f ca="1">IFERROR(__xludf.DUMMYFUNCTION("""COMPUTED_VALUE"""),1186)</f>
        <v>1186</v>
      </c>
      <c r="E1800">
        <f ca="1">IFERROR(__xludf.DUMMYFUNCTION("""COMPUTED_VALUE"""),368)</f>
        <v>368</v>
      </c>
      <c r="F1800">
        <v>355</v>
      </c>
      <c r="G1800">
        <v>1.0366197183098591</v>
      </c>
      <c r="H1800">
        <v>737</v>
      </c>
      <c r="I1800">
        <v>1186</v>
      </c>
      <c r="J1800">
        <v>737</v>
      </c>
      <c r="K1800">
        <v>0.9991884920722427</v>
      </c>
      <c r="L1800">
        <f t="shared" ca="1" si="185"/>
        <v>228.66452799999999</v>
      </c>
      <c r="M1800">
        <f t="shared" si="186"/>
        <v>220.58670499999999</v>
      </c>
      <c r="N1800">
        <v>737</v>
      </c>
      <c r="O1800">
        <f t="shared" ca="1" si="184"/>
        <v>1.0366197183098591</v>
      </c>
    </row>
    <row r="1801" spans="1:15" x14ac:dyDescent="0.2">
      <c r="A1801" t="str">
        <f ca="1">IFERROR(__xludf.DUMMYFUNCTION("""COMPUTED_VALUE"""),"km")</f>
        <v>km</v>
      </c>
      <c r="B1801" t="str">
        <f ca="1">IFERROR(__xludf.DUMMYFUNCTION("""COMPUTED_VALUE"""),"Model 3 SR+")</f>
        <v>Model 3 SR+</v>
      </c>
      <c r="C1801">
        <f ca="1">IFERROR(__xludf.DUMMYFUNCTION("""COMPUTED_VALUE"""),423)</f>
        <v>423</v>
      </c>
      <c r="D1801">
        <f ca="1">IFERROR(__xludf.DUMMYFUNCTION("""COMPUTED_VALUE"""),60919)</f>
        <v>60919</v>
      </c>
      <c r="E1801">
        <f ca="1">IFERROR(__xludf.DUMMYFUNCTION("""COMPUTED_VALUE"""),395)</f>
        <v>395</v>
      </c>
      <c r="F1801">
        <v>381</v>
      </c>
      <c r="G1801">
        <v>1.0367454068241471</v>
      </c>
      <c r="H1801">
        <v>37853</v>
      </c>
      <c r="I1801">
        <v>60919</v>
      </c>
      <c r="J1801">
        <v>37853</v>
      </c>
      <c r="K1801">
        <v>0.96165061818262121</v>
      </c>
      <c r="L1801">
        <f t="shared" ca="1" si="185"/>
        <v>245.44154499999999</v>
      </c>
      <c r="M1801">
        <f t="shared" si="186"/>
        <v>236.74235100000001</v>
      </c>
      <c r="N1801">
        <v>37853</v>
      </c>
      <c r="O1801">
        <f t="shared" ca="1" si="184"/>
        <v>1.0367454068241468</v>
      </c>
    </row>
    <row r="1802" spans="1:15" x14ac:dyDescent="0.2">
      <c r="A1802" t="str">
        <f ca="1">IFERROR(__xludf.DUMMYFUNCTION("""COMPUTED_VALUE"""),"km")</f>
        <v>km</v>
      </c>
      <c r="B1802" t="str">
        <f ca="1">IFERROR(__xludf.DUMMYFUNCTION("""COMPUTED_VALUE"""),"Model S 60")</f>
        <v>Model S 60</v>
      </c>
      <c r="D1802">
        <f ca="1">IFERROR(__xludf.DUMMYFUNCTION("""COMPUTED_VALUE"""),40750)</f>
        <v>40750</v>
      </c>
      <c r="E1802">
        <f ca="1">IFERROR(__xludf.DUMMYFUNCTION("""COMPUTED_VALUE"""),295)</f>
        <v>295</v>
      </c>
      <c r="F1802">
        <v>284</v>
      </c>
      <c r="G1802">
        <v>1.0387323943661972</v>
      </c>
      <c r="H1802">
        <v>25321</v>
      </c>
      <c r="I1802">
        <v>40750</v>
      </c>
      <c r="J1802">
        <v>25321</v>
      </c>
      <c r="K1802">
        <v>0.97358297280646833</v>
      </c>
      <c r="L1802">
        <f t="shared" ca="1" si="185"/>
        <v>183.30444500000002</v>
      </c>
      <c r="M1802">
        <f t="shared" si="186"/>
        <v>176.46936400000001</v>
      </c>
      <c r="N1802">
        <v>25321</v>
      </c>
      <c r="O1802">
        <f t="shared" ca="1" si="184"/>
        <v>1.0387323943661972</v>
      </c>
    </row>
    <row r="1803" spans="1:15" x14ac:dyDescent="0.2">
      <c r="A1803" t="str">
        <f ca="1">IFERROR(__xludf.DUMMYFUNCTION("""COMPUTED_VALUE"""),"km")</f>
        <v>km</v>
      </c>
      <c r="B1803" t="str">
        <f ca="1">IFERROR(__xludf.DUMMYFUNCTION("""COMPUTED_VALUE"""),"Model S 70")</f>
        <v>Model S 70</v>
      </c>
      <c r="D1803">
        <f ca="1">IFERROR(__xludf.DUMMYFUNCTION("""COMPUTED_VALUE"""),11968)</f>
        <v>11968</v>
      </c>
      <c r="E1803">
        <f ca="1">IFERROR(__xludf.DUMMYFUNCTION("""COMPUTED_VALUE"""),369)</f>
        <v>369</v>
      </c>
      <c r="F1803">
        <v>355</v>
      </c>
      <c r="G1803">
        <v>1.0394366197183098</v>
      </c>
      <c r="H1803">
        <v>7437</v>
      </c>
      <c r="I1803">
        <v>11968</v>
      </c>
      <c r="J1803">
        <v>7437</v>
      </c>
      <c r="K1803">
        <v>0.99192705892777777</v>
      </c>
      <c r="L1803">
        <f t="shared" ca="1" si="185"/>
        <v>229.285899</v>
      </c>
      <c r="M1803">
        <f t="shared" si="186"/>
        <v>220.58670499999999</v>
      </c>
      <c r="N1803">
        <v>7437</v>
      </c>
      <c r="O1803">
        <f t="shared" ca="1" si="184"/>
        <v>1.0394366197183098</v>
      </c>
    </row>
    <row r="1804" spans="1:15" x14ac:dyDescent="0.2">
      <c r="A1804" t="str">
        <f ca="1">IFERROR(__xludf.DUMMYFUNCTION("""COMPUTED_VALUE"""),"km")</f>
        <v>km</v>
      </c>
      <c r="B1804" t="str">
        <f ca="1">IFERROR(__xludf.DUMMYFUNCTION("""COMPUTED_VALUE"""),"Model 3 SR+")</f>
        <v>Model 3 SR+</v>
      </c>
      <c r="C1804">
        <f ca="1">IFERROR(__xludf.DUMMYFUNCTION("""COMPUTED_VALUE"""),428)</f>
        <v>428</v>
      </c>
      <c r="D1804">
        <f ca="1">IFERROR(__xludf.DUMMYFUNCTION("""COMPUTED_VALUE"""),55850)</f>
        <v>55850</v>
      </c>
      <c r="E1804">
        <f ca="1">IFERROR(__xludf.DUMMYFUNCTION("""COMPUTED_VALUE"""),399)</f>
        <v>399</v>
      </c>
      <c r="F1804">
        <v>381</v>
      </c>
      <c r="G1804">
        <v>1.0472440944881889</v>
      </c>
      <c r="H1804">
        <v>34704</v>
      </c>
      <c r="I1804">
        <v>55850</v>
      </c>
      <c r="J1804">
        <v>34704</v>
      </c>
      <c r="K1804">
        <v>0.96457683811500572</v>
      </c>
      <c r="L1804">
        <f t="shared" ca="1" si="185"/>
        <v>247.927029</v>
      </c>
      <c r="M1804">
        <f t="shared" si="186"/>
        <v>236.74235100000001</v>
      </c>
      <c r="N1804">
        <v>34704</v>
      </c>
      <c r="O1804">
        <f t="shared" ca="1" si="184"/>
        <v>1.0472440944881889</v>
      </c>
    </row>
    <row r="1805" spans="1:15" x14ac:dyDescent="0.2">
      <c r="A1805" t="str">
        <f ca="1">IFERROR(__xludf.DUMMYFUNCTION("""COMPUTED_VALUE"""),"km")</f>
        <v>km</v>
      </c>
      <c r="B1805" t="str">
        <f ca="1">IFERROR(__xludf.DUMMYFUNCTION("""COMPUTED_VALUE"""),"Model 3 LR AWD")</f>
        <v>Model 3 LR AWD</v>
      </c>
      <c r="C1805">
        <f ca="1">IFERROR(__xludf.DUMMYFUNCTION("""COMPUTED_VALUE"""),545)</f>
        <v>545</v>
      </c>
      <c r="D1805">
        <f ca="1">IFERROR(__xludf.DUMMYFUNCTION("""COMPUTED_VALUE"""),66)</f>
        <v>66</v>
      </c>
      <c r="E1805">
        <f ca="1">IFERROR(__xludf.DUMMYFUNCTION("""COMPUTED_VALUE"""),523)</f>
        <v>523</v>
      </c>
      <c r="F1805">
        <v>499</v>
      </c>
      <c r="G1805">
        <v>1.0480961923847696</v>
      </c>
      <c r="H1805">
        <v>41</v>
      </c>
      <c r="I1805">
        <v>66</v>
      </c>
      <c r="J1805">
        <v>41</v>
      </c>
      <c r="K1805">
        <v>0.9999547740273933</v>
      </c>
      <c r="L1805">
        <f t="shared" ca="1" si="185"/>
        <v>324.97703300000001</v>
      </c>
      <c r="M1805">
        <f t="shared" si="186"/>
        <v>310.06412899999998</v>
      </c>
      <c r="N1805">
        <v>41</v>
      </c>
      <c r="O1805">
        <f t="shared" ca="1" si="184"/>
        <v>1.0480961923847696</v>
      </c>
    </row>
    <row r="1806" spans="1:15" x14ac:dyDescent="0.2">
      <c r="A1806" t="str">
        <f ca="1">IFERROR(__xludf.DUMMYFUNCTION("""COMPUTED_VALUE"""),"km")</f>
        <v>km</v>
      </c>
      <c r="B1806" t="str">
        <f ca="1">IFERROR(__xludf.DUMMYFUNCTION("""COMPUTED_VALUE"""),"Model S 60")</f>
        <v>Model S 60</v>
      </c>
      <c r="D1806">
        <f ca="1">IFERROR(__xludf.DUMMYFUNCTION("""COMPUTED_VALUE"""),35388)</f>
        <v>35388</v>
      </c>
      <c r="E1806">
        <f ca="1">IFERROR(__xludf.DUMMYFUNCTION("""COMPUTED_VALUE"""),298)</f>
        <v>298</v>
      </c>
      <c r="F1806">
        <v>284</v>
      </c>
      <c r="G1806">
        <v>1.0492957746478873</v>
      </c>
      <c r="H1806">
        <v>21989</v>
      </c>
      <c r="I1806">
        <v>35388</v>
      </c>
      <c r="J1806">
        <v>21989</v>
      </c>
      <c r="K1806">
        <v>0.97688424564542831</v>
      </c>
      <c r="L1806">
        <f t="shared" ca="1" si="185"/>
        <v>185.16855799999999</v>
      </c>
      <c r="M1806">
        <f t="shared" si="186"/>
        <v>176.46936400000001</v>
      </c>
      <c r="N1806">
        <v>21989</v>
      </c>
      <c r="O1806">
        <f t="shared" ca="1" si="184"/>
        <v>1.0492957746478873</v>
      </c>
    </row>
    <row r="1807" spans="1:15" x14ac:dyDescent="0.2">
      <c r="A1807" t="str">
        <f ca="1">IFERROR(__xludf.DUMMYFUNCTION("""COMPUTED_VALUE"""),"km")</f>
        <v>km</v>
      </c>
      <c r="B1807" t="str">
        <f ca="1">IFERROR(__xludf.DUMMYFUNCTION("""COMPUTED_VALUE"""),"Model S 60")</f>
        <v>Model S 60</v>
      </c>
      <c r="D1807">
        <f ca="1">IFERROR(__xludf.DUMMYFUNCTION("""COMPUTED_VALUE"""),43937)</f>
        <v>43937</v>
      </c>
      <c r="E1807">
        <f ca="1">IFERROR(__xludf.DUMMYFUNCTION("""COMPUTED_VALUE"""),298)</f>
        <v>298</v>
      </c>
      <c r="F1807">
        <v>284</v>
      </c>
      <c r="G1807">
        <v>1.0492957746478873</v>
      </c>
      <c r="H1807">
        <v>27301</v>
      </c>
      <c r="I1807">
        <v>43937</v>
      </c>
      <c r="J1807">
        <v>27301</v>
      </c>
      <c r="K1807">
        <v>0.97164631443820126</v>
      </c>
      <c r="L1807">
        <f t="shared" ca="1" si="185"/>
        <v>185.16855799999999</v>
      </c>
      <c r="M1807">
        <f t="shared" si="186"/>
        <v>176.46936400000001</v>
      </c>
      <c r="N1807">
        <v>27301</v>
      </c>
      <c r="O1807">
        <f t="shared" ca="1" si="184"/>
        <v>1.0492957746478873</v>
      </c>
    </row>
    <row r="1808" spans="1:15" x14ac:dyDescent="0.2">
      <c r="A1808" t="str">
        <f ca="1">IFERROR(__xludf.DUMMYFUNCTION("""COMPUTED_VALUE"""),"km")</f>
        <v>km</v>
      </c>
      <c r="B1808" t="str">
        <f ca="1">IFERROR(__xludf.DUMMYFUNCTION("""COMPUTED_VALUE"""),"Model 3 SR+")</f>
        <v>Model 3 SR+</v>
      </c>
      <c r="C1808">
        <f ca="1">IFERROR(__xludf.DUMMYFUNCTION("""COMPUTED_VALUE"""),420)</f>
        <v>420</v>
      </c>
      <c r="D1808">
        <f ca="1">IFERROR(__xludf.DUMMYFUNCTION("""COMPUTED_VALUE"""),25000)</f>
        <v>25000</v>
      </c>
      <c r="E1808">
        <f ca="1">IFERROR(__xludf.DUMMYFUNCTION("""COMPUTED_VALUE"""),400)</f>
        <v>400</v>
      </c>
      <c r="F1808">
        <v>381</v>
      </c>
      <c r="G1808">
        <v>1.0498687664041995</v>
      </c>
      <c r="H1808">
        <v>15534</v>
      </c>
      <c r="I1808">
        <v>25000</v>
      </c>
      <c r="J1808">
        <v>15534</v>
      </c>
      <c r="K1808">
        <v>0.98343202901163917</v>
      </c>
      <c r="L1808">
        <f t="shared" ca="1" si="185"/>
        <v>248.54840000000002</v>
      </c>
      <c r="M1808">
        <f t="shared" si="186"/>
        <v>236.74235100000001</v>
      </c>
      <c r="N1808">
        <v>15534</v>
      </c>
      <c r="O1808">
        <f t="shared" ca="1" si="184"/>
        <v>1.0498687664041995</v>
      </c>
    </row>
    <row r="1809" spans="1:15" x14ac:dyDescent="0.2">
      <c r="A1809" t="str">
        <f ca="1">IFERROR(__xludf.DUMMYFUNCTION("""COMPUTED_VALUE"""),"km")</f>
        <v>km</v>
      </c>
      <c r="B1809" t="str">
        <f ca="1">IFERROR(__xludf.DUMMYFUNCTION("""COMPUTED_VALUE"""),"Model 3 SR+")</f>
        <v>Model 3 SR+</v>
      </c>
      <c r="C1809">
        <f ca="1">IFERROR(__xludf.DUMMYFUNCTION("""COMPUTED_VALUE"""),428)</f>
        <v>428</v>
      </c>
      <c r="D1809">
        <f ca="1">IFERROR(__xludf.DUMMYFUNCTION("""COMPUTED_VALUE"""),47225)</f>
        <v>47225</v>
      </c>
      <c r="E1809">
        <f ca="1">IFERROR(__xludf.DUMMYFUNCTION("""COMPUTED_VALUE"""),401)</f>
        <v>401</v>
      </c>
      <c r="F1809">
        <v>381</v>
      </c>
      <c r="G1809">
        <v>1.05249343832021</v>
      </c>
      <c r="H1809">
        <v>29344</v>
      </c>
      <c r="I1809">
        <v>47225</v>
      </c>
      <c r="J1809">
        <v>29344</v>
      </c>
      <c r="K1809">
        <v>0.96966830540888105</v>
      </c>
      <c r="L1809">
        <f t="shared" ca="1" si="185"/>
        <v>249.169771</v>
      </c>
      <c r="M1809">
        <f t="shared" si="186"/>
        <v>236.74235100000001</v>
      </c>
      <c r="N1809">
        <v>29344</v>
      </c>
      <c r="O1809">
        <f t="shared" ca="1" si="184"/>
        <v>1.0524934383202098</v>
      </c>
    </row>
    <row r="1810" spans="1:15" x14ac:dyDescent="0.2">
      <c r="A1810" t="str">
        <f ca="1">IFERROR(__xludf.DUMMYFUNCTION("""COMPUTED_VALUE"""),"km")</f>
        <v>km</v>
      </c>
      <c r="B1810" t="str">
        <f ca="1">IFERROR(__xludf.DUMMYFUNCTION("""COMPUTED_VALUE"""),"Model S P85")</f>
        <v>Model S P85</v>
      </c>
      <c r="C1810">
        <f ca="1">IFERROR(__xludf.DUMMYFUNCTION("""COMPUTED_VALUE"""),490)</f>
        <v>490</v>
      </c>
      <c r="D1810">
        <f ca="1">IFERROR(__xludf.DUMMYFUNCTION("""COMPUTED_VALUE"""),252500)</f>
        <v>252500</v>
      </c>
      <c r="E1810">
        <f ca="1">IFERROR(__xludf.DUMMYFUNCTION("""COMPUTED_VALUE"""),417)</f>
        <v>417</v>
      </c>
      <c r="F1810">
        <v>395</v>
      </c>
      <c r="G1810">
        <v>1.0556962025316456</v>
      </c>
      <c r="H1810">
        <v>156896</v>
      </c>
      <c r="I1810">
        <v>252500</v>
      </c>
      <c r="J1810">
        <v>156896</v>
      </c>
      <c r="K1810">
        <v>0.88987363674379427</v>
      </c>
      <c r="L1810">
        <f t="shared" ca="1" si="185"/>
        <v>259.11170700000002</v>
      </c>
      <c r="M1810">
        <f t="shared" si="186"/>
        <v>245.44154499999999</v>
      </c>
      <c r="N1810">
        <v>156896</v>
      </c>
      <c r="O1810">
        <f t="shared" ca="1" si="184"/>
        <v>1.0556962025316456</v>
      </c>
    </row>
    <row r="1811" spans="1:15" x14ac:dyDescent="0.2">
      <c r="A1811" t="str">
        <f ca="1">IFERROR(__xludf.DUMMYFUNCTION("""COMPUTED_VALUE"""),"km")</f>
        <v>km</v>
      </c>
      <c r="B1811" t="str">
        <f ca="1">IFERROR(__xludf.DUMMYFUNCTION("""COMPUTED_VALUE"""),"Model 3 LR AWD")</f>
        <v>Model 3 LR AWD</v>
      </c>
      <c r="C1811">
        <f ca="1">IFERROR(__xludf.DUMMYFUNCTION("""COMPUTED_VALUE"""),542)</f>
        <v>542</v>
      </c>
      <c r="D1811">
        <f ca="1">IFERROR(__xludf.DUMMYFUNCTION("""COMPUTED_VALUE"""),30300)</f>
        <v>30300</v>
      </c>
      <c r="E1811">
        <f ca="1">IFERROR(__xludf.DUMMYFUNCTION("""COMPUTED_VALUE"""),527)</f>
        <v>527</v>
      </c>
      <c r="F1811">
        <v>499</v>
      </c>
      <c r="G1811">
        <v>1.0561122244488979</v>
      </c>
      <c r="H1811">
        <v>18828</v>
      </c>
      <c r="I1811">
        <v>30300</v>
      </c>
      <c r="J1811">
        <v>18828</v>
      </c>
      <c r="K1811">
        <v>0.98006635212526649</v>
      </c>
      <c r="L1811">
        <f t="shared" ca="1" si="185"/>
        <v>327.46251699999999</v>
      </c>
      <c r="M1811">
        <f t="shared" si="186"/>
        <v>310.06412899999998</v>
      </c>
      <c r="N1811">
        <v>18828</v>
      </c>
      <c r="O1811">
        <f t="shared" ca="1" si="184"/>
        <v>1.0561122244488979</v>
      </c>
    </row>
    <row r="1812" spans="1:15" x14ac:dyDescent="0.2">
      <c r="A1812" t="str">
        <f ca="1">IFERROR(__xludf.DUMMYFUNCTION("""COMPUTED_VALUE"""),"km")</f>
        <v>km</v>
      </c>
      <c r="B1812" t="str">
        <f ca="1">IFERROR(__xludf.DUMMYFUNCTION("""COMPUTED_VALUE"""),"Model S 60")</f>
        <v>Model S 60</v>
      </c>
      <c r="D1812">
        <f ca="1">IFERROR(__xludf.DUMMYFUNCTION("""COMPUTED_VALUE"""),26481)</f>
        <v>26481</v>
      </c>
      <c r="E1812">
        <f ca="1">IFERROR(__xludf.DUMMYFUNCTION("""COMPUTED_VALUE"""),300)</f>
        <v>300</v>
      </c>
      <c r="F1812">
        <v>284</v>
      </c>
      <c r="G1812">
        <v>1.056338028169014</v>
      </c>
      <c r="H1812">
        <v>16455</v>
      </c>
      <c r="I1812">
        <v>26481</v>
      </c>
      <c r="J1812">
        <v>16455</v>
      </c>
      <c r="K1812">
        <v>0.98248632477750908</v>
      </c>
      <c r="L1812">
        <f t="shared" ca="1" si="185"/>
        <v>186.41130000000001</v>
      </c>
      <c r="M1812">
        <f t="shared" si="186"/>
        <v>176.46936400000001</v>
      </c>
      <c r="N1812">
        <v>16455</v>
      </c>
      <c r="O1812">
        <f t="shared" ca="1" si="184"/>
        <v>1.056338028169014</v>
      </c>
    </row>
    <row r="1813" spans="1:15" x14ac:dyDescent="0.2">
      <c r="A1813" t="str">
        <f ca="1">IFERROR(__xludf.DUMMYFUNCTION("""COMPUTED_VALUE"""),"km")</f>
        <v>km</v>
      </c>
      <c r="B1813" t="str">
        <f ca="1">IFERROR(__xludf.DUMMYFUNCTION("""COMPUTED_VALUE"""),"Model 3 SR+")</f>
        <v>Model 3 SR+</v>
      </c>
      <c r="C1813">
        <f ca="1">IFERROR(__xludf.DUMMYFUNCTION("""COMPUTED_VALUE"""),428)</f>
        <v>428</v>
      </c>
      <c r="D1813">
        <f ca="1">IFERROR(__xludf.DUMMYFUNCTION("""COMPUTED_VALUE"""),35523)</f>
        <v>35523</v>
      </c>
      <c r="E1813">
        <f ca="1">IFERROR(__xludf.DUMMYFUNCTION("""COMPUTED_VALUE"""),406)</f>
        <v>406</v>
      </c>
      <c r="F1813">
        <v>381</v>
      </c>
      <c r="G1813">
        <v>1.0656167979002624</v>
      </c>
      <c r="H1813">
        <v>22073</v>
      </c>
      <c r="I1813">
        <v>35523</v>
      </c>
      <c r="J1813">
        <v>22073</v>
      </c>
      <c r="K1813">
        <v>0.97680047029076511</v>
      </c>
      <c r="L1813">
        <f t="shared" ca="1" si="185"/>
        <v>252.27662599999999</v>
      </c>
      <c r="M1813">
        <f t="shared" si="186"/>
        <v>236.74235100000001</v>
      </c>
      <c r="N1813">
        <v>22073</v>
      </c>
      <c r="O1813">
        <f t="shared" ca="1" si="184"/>
        <v>1.0656167979002624</v>
      </c>
    </row>
    <row r="1814" spans="1:15" x14ac:dyDescent="0.2">
      <c r="A1814" t="str">
        <f ca="1">IFERROR(__xludf.DUMMYFUNCTION("""COMPUTED_VALUE"""),"km")</f>
        <v>km</v>
      </c>
      <c r="B1814" t="str">
        <f ca="1">IFERROR(__xludf.DUMMYFUNCTION("""COMPUTED_VALUE"""),"Model S 60")</f>
        <v>Model S 60</v>
      </c>
      <c r="D1814">
        <f ca="1">IFERROR(__xludf.DUMMYFUNCTION("""COMPUTED_VALUE"""),20100)</f>
        <v>20100</v>
      </c>
      <c r="E1814">
        <f ca="1">IFERROR(__xludf.DUMMYFUNCTION("""COMPUTED_VALUE"""),303)</f>
        <v>303</v>
      </c>
      <c r="F1814">
        <v>284</v>
      </c>
      <c r="G1814">
        <v>1.0669014084507042</v>
      </c>
      <c r="H1814">
        <v>12490</v>
      </c>
      <c r="I1814">
        <v>20100</v>
      </c>
      <c r="J1814">
        <v>12490</v>
      </c>
      <c r="K1814">
        <v>0.9865897073982427</v>
      </c>
      <c r="L1814">
        <f t="shared" ca="1" si="185"/>
        <v>188.27541300000001</v>
      </c>
      <c r="M1814">
        <f t="shared" si="186"/>
        <v>176.46936400000001</v>
      </c>
      <c r="N1814">
        <v>12490</v>
      </c>
      <c r="O1814">
        <f t="shared" ca="1" si="184"/>
        <v>1.0669014084507042</v>
      </c>
    </row>
    <row r="1815" spans="1:15" x14ac:dyDescent="0.2">
      <c r="A1815" t="str">
        <f ca="1">IFERROR(__xludf.DUMMYFUNCTION("""COMPUTED_VALUE"""),"km")</f>
        <v>km</v>
      </c>
      <c r="B1815" t="str">
        <f ca="1">IFERROR(__xludf.DUMMYFUNCTION("""COMPUTED_VALUE"""),"Model 3 LR AWD")</f>
        <v>Model 3 LR AWD</v>
      </c>
      <c r="C1815">
        <f ca="1">IFERROR(__xludf.DUMMYFUNCTION("""COMPUTED_VALUE"""),542)</f>
        <v>542</v>
      </c>
      <c r="D1815">
        <f ca="1">IFERROR(__xludf.DUMMYFUNCTION("""COMPUTED_VALUE"""),17711)</f>
        <v>17711</v>
      </c>
      <c r="E1815">
        <f ca="1">IFERROR(__xludf.DUMMYFUNCTION("""COMPUTED_VALUE"""),533)</f>
        <v>533</v>
      </c>
      <c r="F1815">
        <v>499</v>
      </c>
      <c r="G1815">
        <v>1.0681362725450902</v>
      </c>
      <c r="H1815">
        <v>11005</v>
      </c>
      <c r="I1815">
        <v>17711</v>
      </c>
      <c r="J1815">
        <v>11005</v>
      </c>
      <c r="K1815">
        <v>0.98814519243060261</v>
      </c>
      <c r="L1815">
        <f t="shared" ca="1" si="185"/>
        <v>331.190743</v>
      </c>
      <c r="M1815">
        <f t="shared" si="186"/>
        <v>310.06412899999998</v>
      </c>
      <c r="N1815">
        <v>11005</v>
      </c>
      <c r="O1815">
        <f t="shared" ca="1" si="184"/>
        <v>1.0681362725450902</v>
      </c>
    </row>
    <row r="1816" spans="1:15" x14ac:dyDescent="0.2">
      <c r="A1816" t="str">
        <f ca="1">IFERROR(__xludf.DUMMYFUNCTION("""COMPUTED_VALUE"""),"km")</f>
        <v>km</v>
      </c>
      <c r="B1816" t="str">
        <f ca="1">IFERROR(__xludf.DUMMYFUNCTION("""COMPUTED_VALUE"""),"Model 3 LR AWD")</f>
        <v>Model 3 LR AWD</v>
      </c>
      <c r="C1816">
        <f ca="1">IFERROR(__xludf.DUMMYFUNCTION("""COMPUTED_VALUE"""),535)</f>
        <v>535</v>
      </c>
      <c r="D1816">
        <f ca="1">IFERROR(__xludf.DUMMYFUNCTION("""COMPUTED_VALUE"""),533)</f>
        <v>533</v>
      </c>
      <c r="E1816">
        <f ca="1">IFERROR(__xludf.DUMMYFUNCTION("""COMPUTED_VALUE"""),534)</f>
        <v>534</v>
      </c>
      <c r="F1816">
        <v>499</v>
      </c>
      <c r="G1816">
        <v>1.0701402805611222</v>
      </c>
      <c r="H1816">
        <v>331</v>
      </c>
      <c r="I1816">
        <v>533</v>
      </c>
      <c r="J1816">
        <v>331</v>
      </c>
      <c r="K1816">
        <v>0.99963498877599166</v>
      </c>
      <c r="L1816">
        <f t="shared" ca="1" si="185"/>
        <v>331.81211400000001</v>
      </c>
      <c r="M1816">
        <f t="shared" si="186"/>
        <v>310.06412899999998</v>
      </c>
      <c r="N1816">
        <v>331</v>
      </c>
      <c r="O1816">
        <f t="shared" ca="1" si="184"/>
        <v>1.0701402805611224</v>
      </c>
    </row>
    <row r="1817" spans="1:15" x14ac:dyDescent="0.2">
      <c r="A1817" t="str">
        <f ca="1">IFERROR(__xludf.DUMMYFUNCTION("""COMPUTED_VALUE"""),"km")</f>
        <v>km</v>
      </c>
      <c r="B1817" t="str">
        <f ca="1">IFERROR(__xludf.DUMMYFUNCTION("""COMPUTED_VALUE"""),"Model 3 LR AWD")</f>
        <v>Model 3 LR AWD</v>
      </c>
      <c r="C1817">
        <f ca="1">IFERROR(__xludf.DUMMYFUNCTION("""COMPUTED_VALUE"""),542)</f>
        <v>542</v>
      </c>
      <c r="D1817">
        <f ca="1">IFERROR(__xludf.DUMMYFUNCTION("""COMPUTED_VALUE"""),11056)</f>
        <v>11056</v>
      </c>
      <c r="E1817">
        <f ca="1">IFERROR(__xludf.DUMMYFUNCTION("""COMPUTED_VALUE"""),538)</f>
        <v>538</v>
      </c>
      <c r="F1817">
        <v>499</v>
      </c>
      <c r="G1817">
        <v>1.0781563126252505</v>
      </c>
      <c r="H1817">
        <v>6870</v>
      </c>
      <c r="I1817">
        <v>11056</v>
      </c>
      <c r="J1817">
        <v>6870</v>
      </c>
      <c r="K1817">
        <v>0.99253314198070575</v>
      </c>
      <c r="L1817">
        <f t="shared" ca="1" si="185"/>
        <v>334.29759799999999</v>
      </c>
      <c r="M1817">
        <f t="shared" si="186"/>
        <v>310.06412899999998</v>
      </c>
      <c r="N1817">
        <v>6870</v>
      </c>
      <c r="O1817">
        <f t="shared" ca="1" si="184"/>
        <v>1.0781563126252505</v>
      </c>
    </row>
    <row r="1818" spans="1:15" x14ac:dyDescent="0.2">
      <c r="A1818" t="str">
        <f ca="1">IFERROR(__xludf.DUMMYFUNCTION("""COMPUTED_VALUE"""),"km")</f>
        <v>km</v>
      </c>
      <c r="B1818" t="str">
        <f ca="1">IFERROR(__xludf.DUMMYFUNCTION("""COMPUTED_VALUE"""),"Model 3 SR+")</f>
        <v>Model 3 SR+</v>
      </c>
      <c r="C1818">
        <f ca="1">IFERROR(__xludf.DUMMYFUNCTION("""COMPUTED_VALUE"""),428)</f>
        <v>428</v>
      </c>
      <c r="D1818">
        <f ca="1">IFERROR(__xludf.DUMMYFUNCTION("""COMPUTED_VALUE"""),24625)</f>
        <v>24625</v>
      </c>
      <c r="E1818">
        <f ca="1">IFERROR(__xludf.DUMMYFUNCTION("""COMPUTED_VALUE"""),413)</f>
        <v>413</v>
      </c>
      <c r="F1818">
        <v>381</v>
      </c>
      <c r="G1818">
        <v>1.083989501312336</v>
      </c>
      <c r="H1818">
        <v>15301</v>
      </c>
      <c r="I1818">
        <v>24625</v>
      </c>
      <c r="J1818">
        <v>15301</v>
      </c>
      <c r="K1818">
        <v>0.98367212917267643</v>
      </c>
      <c r="L1818">
        <f t="shared" ca="1" si="185"/>
        <v>256.62622299999998</v>
      </c>
      <c r="M1818">
        <f t="shared" si="186"/>
        <v>236.74235100000001</v>
      </c>
      <c r="N1818">
        <v>15301</v>
      </c>
      <c r="O1818">
        <f t="shared" ca="1" si="184"/>
        <v>1.0839895013123357</v>
      </c>
    </row>
    <row r="1819" spans="1:15" x14ac:dyDescent="0.2">
      <c r="A1819" t="str">
        <f ca="1">IFERROR(__xludf.DUMMYFUNCTION("""COMPUTED_VALUE"""),"km")</f>
        <v>km</v>
      </c>
      <c r="B1819" t="str">
        <f ca="1">IFERROR(__xludf.DUMMYFUNCTION("""COMPUTED_VALUE"""),"Model 3 LR AWD")</f>
        <v>Model 3 LR AWD</v>
      </c>
      <c r="C1819">
        <f ca="1">IFERROR(__xludf.DUMMYFUNCTION("""COMPUTED_VALUE"""),542)</f>
        <v>542</v>
      </c>
      <c r="D1819">
        <f ca="1">IFERROR(__xludf.DUMMYFUNCTION("""COMPUTED_VALUE"""),8287)</f>
        <v>8287</v>
      </c>
      <c r="E1819">
        <f ca="1">IFERROR(__xludf.DUMMYFUNCTION("""COMPUTED_VALUE"""),543)</f>
        <v>543</v>
      </c>
      <c r="F1819">
        <v>499</v>
      </c>
      <c r="G1819">
        <v>1.0881763527054109</v>
      </c>
      <c r="H1819">
        <v>5149</v>
      </c>
      <c r="I1819">
        <v>8287</v>
      </c>
      <c r="J1819">
        <v>5149</v>
      </c>
      <c r="K1819">
        <v>0.99438255053295732</v>
      </c>
      <c r="L1819">
        <f t="shared" ca="1" si="185"/>
        <v>337.40445299999999</v>
      </c>
      <c r="M1819">
        <f t="shared" si="186"/>
        <v>310.06412899999998</v>
      </c>
      <c r="N1819">
        <v>5149</v>
      </c>
      <c r="O1819">
        <f t="shared" ca="1" si="184"/>
        <v>1.0881763527054109</v>
      </c>
    </row>
    <row r="1820" spans="1:15" x14ac:dyDescent="0.2">
      <c r="A1820" t="str">
        <f ca="1">IFERROR(__xludf.DUMMYFUNCTION("""COMPUTED_VALUE"""),"km")</f>
        <v>km</v>
      </c>
      <c r="B1820" t="str">
        <f ca="1">IFERROR(__xludf.DUMMYFUNCTION("""COMPUTED_VALUE"""),"Model 3 SR+")</f>
        <v>Model 3 SR+</v>
      </c>
      <c r="D1820">
        <f ca="1">IFERROR(__xludf.DUMMYFUNCTION("""COMPUTED_VALUE"""),30905)</f>
        <v>30905</v>
      </c>
      <c r="E1820">
        <f ca="1">IFERROR(__xludf.DUMMYFUNCTION("""COMPUTED_VALUE"""),415)</f>
        <v>415</v>
      </c>
      <c r="F1820">
        <v>381</v>
      </c>
      <c r="G1820">
        <v>1.0892388451443569</v>
      </c>
      <c r="H1820">
        <v>19203</v>
      </c>
      <c r="I1820">
        <v>30905</v>
      </c>
      <c r="J1820">
        <v>19203</v>
      </c>
      <c r="K1820">
        <v>0.97968545950466712</v>
      </c>
      <c r="L1820">
        <f t="shared" ca="1" si="185"/>
        <v>257.868965</v>
      </c>
      <c r="M1820">
        <f t="shared" si="186"/>
        <v>236.74235100000001</v>
      </c>
      <c r="N1820">
        <v>19203</v>
      </c>
      <c r="O1820">
        <f t="shared" ca="1" si="184"/>
        <v>1.0892388451443569</v>
      </c>
    </row>
    <row r="1821" spans="1:15" x14ac:dyDescent="0.2">
      <c r="A1821" t="str">
        <f ca="1">IFERROR(__xludf.DUMMYFUNCTION("""COMPUTED_VALUE"""),"km")</f>
        <v>km</v>
      </c>
      <c r="B1821" t="str">
        <f ca="1">IFERROR(__xludf.DUMMYFUNCTION("""COMPUTED_VALUE"""),"Model 3 SR+")</f>
        <v>Model 3 SR+</v>
      </c>
      <c r="C1821">
        <f ca="1">IFERROR(__xludf.DUMMYFUNCTION("""COMPUTED_VALUE"""),423)</f>
        <v>423</v>
      </c>
      <c r="D1821">
        <f ca="1">IFERROR(__xludf.DUMMYFUNCTION("""COMPUTED_VALUE"""),18119)</f>
        <v>18119</v>
      </c>
      <c r="E1821">
        <f ca="1">IFERROR(__xludf.DUMMYFUNCTION("""COMPUTED_VALUE"""),417)</f>
        <v>417</v>
      </c>
      <c r="F1821">
        <v>381</v>
      </c>
      <c r="G1821">
        <v>1.094488188976378</v>
      </c>
      <c r="H1821">
        <v>11259</v>
      </c>
      <c r="I1821">
        <v>18119</v>
      </c>
      <c r="J1821">
        <v>11259</v>
      </c>
      <c r="K1821">
        <v>0.98787880375138448</v>
      </c>
      <c r="L1821">
        <f t="shared" ca="1" si="185"/>
        <v>259.11170700000002</v>
      </c>
      <c r="M1821">
        <f t="shared" si="186"/>
        <v>236.74235100000001</v>
      </c>
      <c r="N1821">
        <v>11259</v>
      </c>
      <c r="O1821">
        <f t="shared" ca="1" si="184"/>
        <v>1.094488188976378</v>
      </c>
    </row>
    <row r="1822" spans="1:15" x14ac:dyDescent="0.2">
      <c r="A1822" t="str">
        <f ca="1">IFERROR(__xludf.DUMMYFUNCTION("""COMPUTED_VALUE"""),"km")</f>
        <v>km</v>
      </c>
      <c r="B1822" t="str">
        <f ca="1">IFERROR(__xludf.DUMMYFUNCTION("""COMPUTED_VALUE"""),"Model S P100D")</f>
        <v>Model S P100D</v>
      </c>
      <c r="C1822">
        <f ca="1">IFERROR(__xludf.DUMMYFUNCTION("""COMPUTED_VALUE"""),555)</f>
        <v>555</v>
      </c>
      <c r="D1822">
        <f ca="1">IFERROR(__xludf.DUMMYFUNCTION("""COMPUTED_VALUE"""),5896)</f>
        <v>5896</v>
      </c>
      <c r="E1822">
        <f ca="1">IFERROR(__xludf.DUMMYFUNCTION("""COMPUTED_VALUE"""),554)</f>
        <v>554</v>
      </c>
      <c r="F1822">
        <v>505</v>
      </c>
      <c r="G1822">
        <v>1.0970297029702971</v>
      </c>
      <c r="H1822">
        <v>3664</v>
      </c>
      <c r="I1822">
        <v>5896</v>
      </c>
      <c r="J1822">
        <v>3664</v>
      </c>
      <c r="K1822">
        <v>0.99599063892782547</v>
      </c>
      <c r="L1822">
        <f t="shared" ca="1" si="185"/>
        <v>344.23953399999999</v>
      </c>
      <c r="M1822">
        <f t="shared" si="186"/>
        <v>313.79235499999999</v>
      </c>
      <c r="N1822">
        <v>3664</v>
      </c>
      <c r="O1822">
        <f t="shared" ca="1" si="184"/>
        <v>1.0970297029702971</v>
      </c>
    </row>
    <row r="1823" spans="1:15" x14ac:dyDescent="0.2">
      <c r="A1823" t="str">
        <f ca="1">IFERROR(__xludf.DUMMYFUNCTION("""COMPUTED_VALUE"""),"km")</f>
        <v>km</v>
      </c>
      <c r="B1823" t="str">
        <f ca="1">IFERROR(__xludf.DUMMYFUNCTION("""COMPUTED_VALUE"""),"Model 3 LR AWD")</f>
        <v>Model 3 LR AWD</v>
      </c>
      <c r="C1823">
        <f ca="1">IFERROR(__xludf.DUMMYFUNCTION("""COMPUTED_VALUE"""),550)</f>
        <v>550</v>
      </c>
      <c r="D1823">
        <f ca="1">IFERROR(__xludf.DUMMYFUNCTION("""COMPUTED_VALUE"""),5000)</f>
        <v>5000</v>
      </c>
      <c r="E1823">
        <f ca="1">IFERROR(__xludf.DUMMYFUNCTION("""COMPUTED_VALUE"""),548)</f>
        <v>548</v>
      </c>
      <c r="F1823">
        <v>499</v>
      </c>
      <c r="G1823">
        <v>1.0981963927855711</v>
      </c>
      <c r="H1823">
        <v>3107</v>
      </c>
      <c r="I1823">
        <v>5000</v>
      </c>
      <c r="J1823">
        <v>3107</v>
      </c>
      <c r="K1823">
        <v>0.99659590614136695</v>
      </c>
      <c r="L1823">
        <f t="shared" ca="1" si="185"/>
        <v>340.51130799999999</v>
      </c>
      <c r="M1823">
        <f t="shared" si="186"/>
        <v>310.06412899999998</v>
      </c>
      <c r="N1823">
        <v>3107</v>
      </c>
      <c r="O1823">
        <f t="shared" ca="1" si="184"/>
        <v>1.0981963927855711</v>
      </c>
    </row>
    <row r="1824" spans="1:15" x14ac:dyDescent="0.2">
      <c r="A1824" t="str">
        <f ca="1">IFERROR(__xludf.DUMMYFUNCTION("""COMPUTED_VALUE"""),"km")</f>
        <v>km</v>
      </c>
      <c r="B1824" t="str">
        <f ca="1">IFERROR(__xludf.DUMMYFUNCTION("""COMPUTED_VALUE"""),"Model S P100D")</f>
        <v>Model S P100D</v>
      </c>
      <c r="C1824">
        <f ca="1">IFERROR(__xludf.DUMMYFUNCTION("""COMPUTED_VALUE"""),555)</f>
        <v>555</v>
      </c>
      <c r="D1824">
        <f ca="1">IFERROR(__xludf.DUMMYFUNCTION("""COMPUTED_VALUE"""),800)</f>
        <v>800</v>
      </c>
      <c r="E1824">
        <f ca="1">IFERROR(__xludf.DUMMYFUNCTION("""COMPUTED_VALUE"""),555)</f>
        <v>555</v>
      </c>
      <c r="F1824">
        <v>505</v>
      </c>
      <c r="G1824">
        <v>1.0990099009900991</v>
      </c>
      <c r="H1824">
        <v>497</v>
      </c>
      <c r="I1824">
        <v>800</v>
      </c>
      <c r="J1824">
        <v>497</v>
      </c>
      <c r="K1824">
        <v>0.99945233196981209</v>
      </c>
      <c r="L1824">
        <f t="shared" ca="1" si="185"/>
        <v>344.860905</v>
      </c>
      <c r="M1824">
        <f t="shared" si="186"/>
        <v>313.79235499999999</v>
      </c>
      <c r="N1824">
        <v>497</v>
      </c>
      <c r="O1824">
        <f t="shared" ca="1" si="184"/>
        <v>1.0990099009900991</v>
      </c>
    </row>
    <row r="1825" spans="1:15" x14ac:dyDescent="0.2">
      <c r="A1825" t="str">
        <f ca="1">IFERROR(__xludf.DUMMYFUNCTION("""COMPUTED_VALUE"""),"km")</f>
        <v>km</v>
      </c>
      <c r="B1825" t="str">
        <f ca="1">IFERROR(__xludf.DUMMYFUNCTION("""COMPUTED_VALUE"""),"Model X 100D")</f>
        <v>Model X 100D</v>
      </c>
      <c r="C1825">
        <f ca="1">IFERROR(__xludf.DUMMYFUNCTION("""COMPUTED_VALUE"""),523.5)</f>
        <v>523.5</v>
      </c>
      <c r="D1825">
        <f ca="1">IFERROR(__xludf.DUMMYFUNCTION("""COMPUTED_VALUE"""),39850)</f>
        <v>39850</v>
      </c>
      <c r="E1825">
        <f ca="1">IFERROR(__xludf.DUMMYFUNCTION("""COMPUTED_VALUE"""),493)</f>
        <v>493</v>
      </c>
      <c r="F1825">
        <v>448</v>
      </c>
      <c r="G1825">
        <v>1.1004464285714286</v>
      </c>
      <c r="H1825">
        <v>24762</v>
      </c>
      <c r="I1825">
        <v>39850</v>
      </c>
      <c r="J1825">
        <v>24762</v>
      </c>
      <c r="K1825">
        <v>0.97413332982008616</v>
      </c>
      <c r="L1825">
        <f t="shared" ca="1" si="185"/>
        <v>306.33590300000003</v>
      </c>
      <c r="M1825">
        <f t="shared" si="186"/>
        <v>278.37420800000001</v>
      </c>
      <c r="N1825">
        <v>24762</v>
      </c>
      <c r="O1825">
        <f t="shared" ca="1" si="184"/>
        <v>1.1004464285714286</v>
      </c>
    </row>
    <row r="1826" spans="1:15" x14ac:dyDescent="0.2">
      <c r="A1826" t="str">
        <f ca="1">IFERROR(__xludf.DUMMYFUNCTION("""COMPUTED_VALUE"""),"km")</f>
        <v>km</v>
      </c>
      <c r="B1826" t="str">
        <f ca="1">IFERROR(__xludf.DUMMYFUNCTION("""COMPUTED_VALUE"""),"Model 3 LR AWD")</f>
        <v>Model 3 LR AWD</v>
      </c>
      <c r="C1826">
        <f ca="1">IFERROR(__xludf.DUMMYFUNCTION("""COMPUTED_VALUE"""),550)</f>
        <v>550</v>
      </c>
      <c r="D1826">
        <f ca="1">IFERROR(__xludf.DUMMYFUNCTION("""COMPUTED_VALUE"""),1)</f>
        <v>1</v>
      </c>
      <c r="E1826">
        <f ca="1">IFERROR(__xludf.DUMMYFUNCTION("""COMPUTED_VALUE"""),550)</f>
        <v>550</v>
      </c>
      <c r="F1826">
        <v>499</v>
      </c>
      <c r="G1826">
        <v>1.1022044088176353</v>
      </c>
      <c r="H1826">
        <v>1</v>
      </c>
      <c r="I1826">
        <v>1</v>
      </c>
      <c r="J1826">
        <v>1</v>
      </c>
      <c r="K1826">
        <v>0.99999931469982994</v>
      </c>
      <c r="L1826">
        <f t="shared" ca="1" si="185"/>
        <v>341.75405000000001</v>
      </c>
      <c r="M1826">
        <f t="shared" si="186"/>
        <v>310.06412899999998</v>
      </c>
      <c r="N1826">
        <v>1</v>
      </c>
      <c r="O1826">
        <f t="shared" ca="1" si="184"/>
        <v>1.1022044088176353</v>
      </c>
    </row>
    <row r="1827" spans="1:15" x14ac:dyDescent="0.2">
      <c r="A1827" t="str">
        <f ca="1">IFERROR(__xludf.DUMMYFUNCTION("""COMPUTED_VALUE"""),"km")</f>
        <v>km</v>
      </c>
      <c r="B1827" t="str">
        <f ca="1">IFERROR(__xludf.DUMMYFUNCTION("""COMPUTED_VALUE"""),"Model 3 LR AWD")</f>
        <v>Model 3 LR AWD</v>
      </c>
      <c r="C1827">
        <f ca="1">IFERROR(__xludf.DUMMYFUNCTION("""COMPUTED_VALUE"""),550)</f>
        <v>550</v>
      </c>
      <c r="D1827">
        <f ca="1">IFERROR(__xludf.DUMMYFUNCTION("""COMPUTED_VALUE"""),2500)</f>
        <v>2500</v>
      </c>
      <c r="E1827">
        <f ca="1">IFERROR(__xludf.DUMMYFUNCTION("""COMPUTED_VALUE"""),550)</f>
        <v>550</v>
      </c>
      <c r="F1827">
        <v>499</v>
      </c>
      <c r="G1827">
        <v>1.1022044088176353</v>
      </c>
      <c r="H1827">
        <v>1553</v>
      </c>
      <c r="I1827">
        <v>2500</v>
      </c>
      <c r="J1827">
        <v>1553</v>
      </c>
      <c r="K1827">
        <v>0.99829234490187158</v>
      </c>
      <c r="L1827">
        <f t="shared" ca="1" si="185"/>
        <v>341.75405000000001</v>
      </c>
      <c r="M1827">
        <f t="shared" si="186"/>
        <v>310.06412899999998</v>
      </c>
      <c r="N1827">
        <v>1553</v>
      </c>
      <c r="O1827">
        <f t="shared" ca="1" si="184"/>
        <v>1.1022044088176353</v>
      </c>
    </row>
    <row r="1828" spans="1:15" x14ac:dyDescent="0.2">
      <c r="A1828" t="str">
        <f ca="1">IFERROR(__xludf.DUMMYFUNCTION("""COMPUTED_VALUE"""),"km")</f>
        <v>km</v>
      </c>
      <c r="B1828" t="str">
        <f ca="1">IFERROR(__xludf.DUMMYFUNCTION("""COMPUTED_VALUE"""),"Model 3 SR+")</f>
        <v>Model 3 SR+</v>
      </c>
      <c r="C1828">
        <f ca="1">IFERROR(__xludf.DUMMYFUNCTION("""COMPUTED_VALUE"""),421)</f>
        <v>421</v>
      </c>
      <c r="D1828">
        <f ca="1">IFERROR(__xludf.DUMMYFUNCTION("""COMPUTED_VALUE"""),200)</f>
        <v>200</v>
      </c>
      <c r="E1828">
        <f ca="1">IFERROR(__xludf.DUMMYFUNCTION("""COMPUTED_VALUE"""),421)</f>
        <v>421</v>
      </c>
      <c r="F1828">
        <v>381</v>
      </c>
      <c r="G1828">
        <v>1.1049868766404201</v>
      </c>
      <c r="H1828">
        <v>124</v>
      </c>
      <c r="I1828">
        <v>200</v>
      </c>
      <c r="J1828">
        <v>124</v>
      </c>
      <c r="K1828">
        <v>0.99986297558022907</v>
      </c>
      <c r="L1828">
        <f t="shared" ca="1" si="185"/>
        <v>261.59719100000001</v>
      </c>
      <c r="M1828">
        <f t="shared" si="186"/>
        <v>236.74235100000001</v>
      </c>
      <c r="N1828">
        <v>124</v>
      </c>
      <c r="O1828">
        <f t="shared" ca="1" si="184"/>
        <v>1.1049868766404198</v>
      </c>
    </row>
    <row r="1829" spans="1:15" x14ac:dyDescent="0.2">
      <c r="A1829" t="str">
        <f ca="1">IFERROR(__xludf.DUMMYFUNCTION("""COMPUTED_VALUE"""),"km")</f>
        <v>km</v>
      </c>
      <c r="B1829" t="str">
        <f ca="1">IFERROR(__xludf.DUMMYFUNCTION("""COMPUTED_VALUE"""),"Model 3 LR")</f>
        <v>Model 3 LR</v>
      </c>
      <c r="C1829">
        <f ca="1">IFERROR(__xludf.DUMMYFUNCTION("""COMPUTED_VALUE"""),575)</f>
        <v>575</v>
      </c>
      <c r="D1829">
        <f ca="1">IFERROR(__xludf.DUMMYFUNCTION("""COMPUTED_VALUE"""),576)</f>
        <v>576</v>
      </c>
      <c r="E1829">
        <f ca="1">IFERROR(__xludf.DUMMYFUNCTION("""COMPUTED_VALUE"""),570)</f>
        <v>570</v>
      </c>
      <c r="F1829">
        <v>515</v>
      </c>
      <c r="G1829">
        <v>1.1067961165048543</v>
      </c>
      <c r="H1829">
        <v>358</v>
      </c>
      <c r="I1829">
        <v>576</v>
      </c>
      <c r="J1829">
        <v>358</v>
      </c>
      <c r="K1829">
        <v>0.99960556351220675</v>
      </c>
      <c r="L1829">
        <f t="shared" ca="1" si="185"/>
        <v>354.18146999999999</v>
      </c>
      <c r="M1829">
        <f t="shared" si="186"/>
        <v>320.00606499999998</v>
      </c>
      <c r="N1829">
        <v>358</v>
      </c>
      <c r="O1829">
        <f t="shared" ca="1" si="184"/>
        <v>1.1067961165048543</v>
      </c>
    </row>
    <row r="1830" spans="1:15" x14ac:dyDescent="0.2">
      <c r="A1830" t="str">
        <f ca="1">IFERROR(__xludf.DUMMYFUNCTION("""COMPUTED_VALUE"""),"km")</f>
        <v>km</v>
      </c>
      <c r="B1830" t="str">
        <f ca="1">IFERROR(__xludf.DUMMYFUNCTION("""COMPUTED_VALUE"""),"Model 3 LR AWD")</f>
        <v>Model 3 LR AWD</v>
      </c>
      <c r="C1830">
        <f ca="1">IFERROR(__xludf.DUMMYFUNCTION("""COMPUTED_VALUE"""),571)</f>
        <v>571</v>
      </c>
      <c r="D1830">
        <f ca="1">IFERROR(__xludf.DUMMYFUNCTION("""COMPUTED_VALUE"""),17000)</f>
        <v>17000</v>
      </c>
      <c r="E1830">
        <f ca="1">IFERROR(__xludf.DUMMYFUNCTION("""COMPUTED_VALUE"""),556)</f>
        <v>556</v>
      </c>
      <c r="F1830">
        <v>499</v>
      </c>
      <c r="G1830">
        <v>1.1142284569138277</v>
      </c>
      <c r="H1830">
        <v>10563</v>
      </c>
      <c r="I1830">
        <v>17000</v>
      </c>
      <c r="J1830">
        <v>10563</v>
      </c>
      <c r="K1830">
        <v>0.98861014013661519</v>
      </c>
      <c r="L1830">
        <f t="shared" ca="1" si="185"/>
        <v>345.48227600000001</v>
      </c>
      <c r="M1830">
        <f t="shared" si="186"/>
        <v>310.06412899999998</v>
      </c>
      <c r="N1830">
        <v>10563</v>
      </c>
      <c r="O1830">
        <f t="shared" ca="1" si="184"/>
        <v>1.1142284569138279</v>
      </c>
    </row>
    <row r="1831" spans="1:15" x14ac:dyDescent="0.2">
      <c r="A1831" t="str">
        <f ca="1">IFERROR(__xludf.DUMMYFUNCTION("""COMPUTED_VALUE"""),"km")</f>
        <v>km</v>
      </c>
      <c r="B1831" t="str">
        <f ca="1">IFERROR(__xludf.DUMMYFUNCTION("""COMPUTED_VALUE"""),"Model X 100D")</f>
        <v>Model X 100D</v>
      </c>
      <c r="C1831">
        <f ca="1">IFERROR(__xludf.DUMMYFUNCTION("""COMPUTED_VALUE"""),523.5)</f>
        <v>523.5</v>
      </c>
      <c r="D1831">
        <f ca="1">IFERROR(__xludf.DUMMYFUNCTION("""COMPUTED_VALUE"""),30098)</f>
        <v>30098</v>
      </c>
      <c r="E1831">
        <f ca="1">IFERROR(__xludf.DUMMYFUNCTION("""COMPUTED_VALUE"""),501.3)</f>
        <v>501.3</v>
      </c>
      <c r="F1831">
        <v>448</v>
      </c>
      <c r="G1831">
        <v>1.1189732142857143</v>
      </c>
      <c r="H1831">
        <v>18702</v>
      </c>
      <c r="I1831">
        <v>30098</v>
      </c>
      <c r="J1831">
        <v>18702</v>
      </c>
      <c r="K1831">
        <v>0.98019367717720696</v>
      </c>
      <c r="L1831">
        <f t="shared" ca="1" si="185"/>
        <v>311.49328230000003</v>
      </c>
      <c r="M1831">
        <f t="shared" si="186"/>
        <v>278.37420800000001</v>
      </c>
      <c r="N1831">
        <v>18702</v>
      </c>
      <c r="O1831">
        <f t="shared" ca="1" si="184"/>
        <v>1.1189732142857143</v>
      </c>
    </row>
    <row r="1832" spans="1:15" x14ac:dyDescent="0.2">
      <c r="A1832" t="str">
        <f ca="1">IFERROR(__xludf.DUMMYFUNCTION("""COMPUTED_VALUE"""),"km")</f>
        <v>km</v>
      </c>
      <c r="B1832" t="str">
        <f ca="1">IFERROR(__xludf.DUMMYFUNCTION("""COMPUTED_VALUE"""),"Model 3 LR AWD")</f>
        <v>Model 3 LR AWD</v>
      </c>
      <c r="C1832">
        <f ca="1">IFERROR(__xludf.DUMMYFUNCTION("""COMPUTED_VALUE"""),570)</f>
        <v>570</v>
      </c>
      <c r="D1832">
        <f ca="1">IFERROR(__xludf.DUMMYFUNCTION("""COMPUTED_VALUE"""),14000)</f>
        <v>14000</v>
      </c>
      <c r="E1832">
        <f ca="1">IFERROR(__xludf.DUMMYFUNCTION("""COMPUTED_VALUE"""),561)</f>
        <v>561</v>
      </c>
      <c r="F1832">
        <v>499</v>
      </c>
      <c r="G1832">
        <v>1.1242484969939879</v>
      </c>
      <c r="H1832">
        <v>8699</v>
      </c>
      <c r="I1832">
        <v>14000</v>
      </c>
      <c r="J1832">
        <v>8699</v>
      </c>
      <c r="K1832">
        <v>0.99058209154111365</v>
      </c>
      <c r="L1832">
        <f t="shared" ca="1" si="185"/>
        <v>348.58913100000001</v>
      </c>
      <c r="M1832">
        <f t="shared" si="186"/>
        <v>310.06412899999998</v>
      </c>
      <c r="N1832">
        <v>8699</v>
      </c>
      <c r="O1832">
        <f t="shared" ca="1" si="184"/>
        <v>1.1242484969939881</v>
      </c>
    </row>
    <row r="1833" spans="1:15" x14ac:dyDescent="0.2">
      <c r="A1833" t="str">
        <f ca="1">IFERROR(__xludf.DUMMYFUNCTION("""COMPUTED_VALUE"""),"mi")</f>
        <v>mi</v>
      </c>
      <c r="B1833" t="str">
        <f ca="1">IFERROR(__xludf.DUMMYFUNCTION("""COMPUTED_VALUE"""),"Model S Long Range")</f>
        <v>Model S Long Range</v>
      </c>
      <c r="D1833">
        <f ca="1">IFERROR(__xludf.DUMMYFUNCTION("""COMPUTED_VALUE"""),6054)</f>
        <v>6054</v>
      </c>
      <c r="E1833">
        <f ca="1">IFERROR(__xludf.DUMMYFUNCTION("""COMPUTED_VALUE"""),353)</f>
        <v>353</v>
      </c>
      <c r="F1833">
        <v>313</v>
      </c>
      <c r="G1833">
        <v>1.1277955271565496</v>
      </c>
      <c r="H1833">
        <v>6054</v>
      </c>
      <c r="I1833">
        <v>9743</v>
      </c>
      <c r="J1833">
        <v>6054</v>
      </c>
      <c r="K1833">
        <v>0.99340836209906858</v>
      </c>
      <c r="L1833">
        <f ca="1">IFERROR(__xludf.DUMMYFUNCTION("""COMPUTED_VALUE"""),353)</f>
        <v>353</v>
      </c>
      <c r="M1833">
        <v>313</v>
      </c>
      <c r="N1833">
        <v>6054</v>
      </c>
      <c r="O1833">
        <f t="shared" ca="1" si="184"/>
        <v>1.1277955271565496</v>
      </c>
    </row>
    <row r="1834" spans="1:15" x14ac:dyDescent="0.2">
      <c r="A1834" t="str">
        <f ca="1">IFERROR(__xludf.DUMMYFUNCTION("""COMPUTED_VALUE"""),"mi")</f>
        <v>mi</v>
      </c>
      <c r="B1834" t="str">
        <f ca="1">IFERROR(__xludf.DUMMYFUNCTION("""COMPUTED_VALUE"""),"Model S P85")</f>
        <v>Model S P85</v>
      </c>
      <c r="D1834">
        <f ca="1">IFERROR(__xludf.DUMMYFUNCTION("""COMPUTED_VALUE"""),79900)</f>
        <v>79900</v>
      </c>
      <c r="E1834">
        <f ca="1">IFERROR(__xludf.DUMMYFUNCTION("""COMPUTED_VALUE"""),277)</f>
        <v>277</v>
      </c>
      <c r="F1834">
        <v>245</v>
      </c>
      <c r="G1834">
        <v>1.1306122448979592</v>
      </c>
      <c r="H1834">
        <v>79900</v>
      </c>
      <c r="I1834">
        <v>128587</v>
      </c>
      <c r="J1834">
        <v>79900</v>
      </c>
      <c r="K1834">
        <v>0.92742076753154579</v>
      </c>
      <c r="L1834">
        <f ca="1">IFERROR(__xludf.DUMMYFUNCTION("""COMPUTED_VALUE"""),277)</f>
        <v>277</v>
      </c>
      <c r="M1834">
        <v>245</v>
      </c>
      <c r="N1834">
        <v>79900</v>
      </c>
      <c r="O1834">
        <f t="shared" ca="1" si="184"/>
        <v>1.1306122448979592</v>
      </c>
    </row>
    <row r="1835" spans="1:15" x14ac:dyDescent="0.2">
      <c r="A1835" t="str">
        <f ca="1">IFERROR(__xludf.DUMMYFUNCTION("""COMPUTED_VALUE"""),"km")</f>
        <v>km</v>
      </c>
      <c r="B1835" t="str">
        <f ca="1">IFERROR(__xludf.DUMMYFUNCTION("""COMPUTED_VALUE"""),"Model S P90D")</f>
        <v>Model S P90D</v>
      </c>
      <c r="D1835">
        <f ca="1">IFERROR(__xludf.DUMMYFUNCTION("""COMPUTED_VALUE"""),113200)</f>
        <v>113200</v>
      </c>
      <c r="E1835">
        <f ca="1">IFERROR(__xludf.DUMMYFUNCTION("""COMPUTED_VALUE"""),466)</f>
        <v>466</v>
      </c>
      <c r="F1835">
        <v>412</v>
      </c>
      <c r="G1835">
        <v>1.1310679611650485</v>
      </c>
      <c r="H1835">
        <v>70339</v>
      </c>
      <c r="I1835">
        <v>113200</v>
      </c>
      <c r="J1835">
        <v>70339</v>
      </c>
      <c r="K1835">
        <v>0.93439701498291039</v>
      </c>
      <c r="L1835">
        <f t="shared" ref="L1835:L1853" ca="1" si="187">E1835*0.621371</f>
        <v>289.55888600000003</v>
      </c>
      <c r="M1835">
        <f t="shared" ref="M1835:M1853" si="188">F1835*0.621371</f>
        <v>256.00485200000003</v>
      </c>
      <c r="N1835">
        <v>70339</v>
      </c>
      <c r="O1835">
        <f t="shared" ca="1" si="184"/>
        <v>1.1310679611650485</v>
      </c>
    </row>
    <row r="1836" spans="1:15" x14ac:dyDescent="0.2">
      <c r="A1836" t="str">
        <f ca="1">IFERROR(__xludf.DUMMYFUNCTION("""COMPUTED_VALUE"""),"km")</f>
        <v>km</v>
      </c>
      <c r="B1836" t="str">
        <f ca="1">IFERROR(__xludf.DUMMYFUNCTION("""COMPUTED_VALUE"""),"Model 3 SR+")</f>
        <v>Model 3 SR+</v>
      </c>
      <c r="C1836">
        <f ca="1">IFERROR(__xludf.DUMMYFUNCTION("""COMPUTED_VALUE"""),439)</f>
        <v>439</v>
      </c>
      <c r="D1836">
        <f ca="1">IFERROR(__xludf.DUMMYFUNCTION("""COMPUTED_VALUE"""),7841)</f>
        <v>7841</v>
      </c>
      <c r="E1836">
        <f ca="1">IFERROR(__xludf.DUMMYFUNCTION("""COMPUTED_VALUE"""),431)</f>
        <v>431</v>
      </c>
      <c r="F1836">
        <v>381</v>
      </c>
      <c r="G1836">
        <v>1.1312335958005248</v>
      </c>
      <c r="H1836">
        <v>4872</v>
      </c>
      <c r="I1836">
        <v>7841</v>
      </c>
      <c r="J1836">
        <v>4872</v>
      </c>
      <c r="K1836">
        <v>0.99468172913775588</v>
      </c>
      <c r="L1836">
        <f t="shared" ca="1" si="187"/>
        <v>267.810901</v>
      </c>
      <c r="M1836">
        <f t="shared" si="188"/>
        <v>236.74235100000001</v>
      </c>
      <c r="N1836">
        <v>4872</v>
      </c>
      <c r="O1836">
        <f t="shared" ca="1" si="184"/>
        <v>1.1312335958005248</v>
      </c>
    </row>
    <row r="1837" spans="1:15" x14ac:dyDescent="0.2">
      <c r="A1837" t="str">
        <f ca="1">IFERROR(__xludf.DUMMYFUNCTION("""COMPUTED_VALUE"""),"km")</f>
        <v>km</v>
      </c>
      <c r="B1837" t="str">
        <f ca="1">IFERROR(__xludf.DUMMYFUNCTION("""COMPUTED_VALUE"""),"Model X 100D")</f>
        <v>Model X 100D</v>
      </c>
      <c r="C1837">
        <f ca="1">IFERROR(__xludf.DUMMYFUNCTION("""COMPUTED_VALUE"""),523.5)</f>
        <v>523.5</v>
      </c>
      <c r="D1837">
        <f ca="1">IFERROR(__xludf.DUMMYFUNCTION("""COMPUTED_VALUE"""),19500)</f>
        <v>19500</v>
      </c>
      <c r="E1837">
        <f ca="1">IFERROR(__xludf.DUMMYFUNCTION("""COMPUTED_VALUE"""),510)</f>
        <v>510</v>
      </c>
      <c r="F1837">
        <v>448</v>
      </c>
      <c r="G1837">
        <v>1.1383928571428572</v>
      </c>
      <c r="H1837">
        <v>12117</v>
      </c>
      <c r="I1837">
        <v>19500</v>
      </c>
      <c r="J1837">
        <v>12117</v>
      </c>
      <c r="K1837">
        <v>0.98697938769210047</v>
      </c>
      <c r="L1837">
        <f t="shared" ca="1" si="187"/>
        <v>316.89920999999998</v>
      </c>
      <c r="M1837">
        <f t="shared" si="188"/>
        <v>278.37420800000001</v>
      </c>
      <c r="N1837">
        <v>12117</v>
      </c>
      <c r="O1837">
        <f t="shared" ca="1" si="184"/>
        <v>1.138392857142857</v>
      </c>
    </row>
    <row r="1838" spans="1:15" x14ac:dyDescent="0.2">
      <c r="A1838" t="str">
        <f ca="1">IFERROR(__xludf.DUMMYFUNCTION("""COMPUTED_VALUE"""),"km")</f>
        <v>km</v>
      </c>
      <c r="B1838" t="str">
        <f ca="1">IFERROR(__xludf.DUMMYFUNCTION("""COMPUTED_VALUE"""),"Model S Long Range")</f>
        <v>Model S Long Range</v>
      </c>
      <c r="C1838">
        <f ca="1">IFERROR(__xludf.DUMMYFUNCTION("""COMPUTED_VALUE"""),582)</f>
        <v>582</v>
      </c>
      <c r="D1838">
        <f ca="1">IFERROR(__xludf.DUMMYFUNCTION("""COMPUTED_VALUE"""),6615)</f>
        <v>6615</v>
      </c>
      <c r="E1838">
        <f ca="1">IFERROR(__xludf.DUMMYFUNCTION("""COMPUTED_VALUE"""),582)</f>
        <v>582</v>
      </c>
      <c r="F1838">
        <v>504</v>
      </c>
      <c r="G1838">
        <v>1.1547619047619047</v>
      </c>
      <c r="H1838">
        <v>4110</v>
      </c>
      <c r="I1838">
        <v>6615</v>
      </c>
      <c r="J1838">
        <v>4110</v>
      </c>
      <c r="K1838">
        <v>0.99550598490360798</v>
      </c>
      <c r="L1838">
        <f t="shared" ca="1" si="187"/>
        <v>361.637922</v>
      </c>
      <c r="M1838">
        <f t="shared" si="188"/>
        <v>313.17098399999998</v>
      </c>
      <c r="N1838">
        <v>4110</v>
      </c>
      <c r="O1838">
        <f t="shared" ca="1" si="184"/>
        <v>1.1547619047619049</v>
      </c>
    </row>
    <row r="1839" spans="1:15" x14ac:dyDescent="0.2">
      <c r="A1839" t="str">
        <f ca="1">IFERROR(__xludf.DUMMYFUNCTION("""COMPUTED_VALUE"""),"km")</f>
        <v>km</v>
      </c>
      <c r="B1839" t="str">
        <f ca="1">IFERROR(__xludf.DUMMYFUNCTION("""COMPUTED_VALUE"""),"Model X 100D")</f>
        <v>Model X 100D</v>
      </c>
      <c r="C1839">
        <f ca="1">IFERROR(__xludf.DUMMYFUNCTION("""COMPUTED_VALUE"""),523.5)</f>
        <v>523.5</v>
      </c>
      <c r="D1839">
        <f ca="1">IFERROR(__xludf.DUMMYFUNCTION("""COMPUTED_VALUE"""),10658)</f>
        <v>10658</v>
      </c>
      <c r="E1839">
        <f ca="1">IFERROR(__xludf.DUMMYFUNCTION("""COMPUTED_VALUE"""),517.5)</f>
        <v>517.5</v>
      </c>
      <c r="F1839">
        <v>448</v>
      </c>
      <c r="G1839">
        <v>1.1551339285714286</v>
      </c>
      <c r="H1839">
        <v>6623</v>
      </c>
      <c r="I1839">
        <v>10658</v>
      </c>
      <c r="J1839">
        <v>6623</v>
      </c>
      <c r="K1839">
        <v>0.99279811124781969</v>
      </c>
      <c r="L1839">
        <f t="shared" ca="1" si="187"/>
        <v>321.55949249999998</v>
      </c>
      <c r="M1839">
        <f t="shared" si="188"/>
        <v>278.37420800000001</v>
      </c>
      <c r="N1839">
        <v>6623</v>
      </c>
      <c r="O1839">
        <f t="shared" ca="1" si="184"/>
        <v>1.1551339285714284</v>
      </c>
    </row>
    <row r="1840" spans="1:15" x14ac:dyDescent="0.2">
      <c r="A1840" t="str">
        <f ca="1">IFERROR(__xludf.DUMMYFUNCTION("""COMPUTED_VALUE"""),"km")</f>
        <v>km</v>
      </c>
      <c r="B1840" t="str">
        <f ca="1">IFERROR(__xludf.DUMMYFUNCTION("""COMPUTED_VALUE"""),"Model X 100D")</f>
        <v>Model X 100D</v>
      </c>
      <c r="C1840">
        <f ca="1">IFERROR(__xludf.DUMMYFUNCTION("""COMPUTED_VALUE"""),523.5)</f>
        <v>523.5</v>
      </c>
      <c r="D1840">
        <f ca="1">IFERROR(__xludf.DUMMYFUNCTION("""COMPUTED_VALUE"""),2025)</f>
        <v>2025</v>
      </c>
      <c r="E1840">
        <f ca="1">IFERROR(__xludf.DUMMYFUNCTION("""COMPUTED_VALUE"""),523.71)</f>
        <v>523.71</v>
      </c>
      <c r="F1840">
        <v>448</v>
      </c>
      <c r="G1840">
        <v>1.1689955357142858</v>
      </c>
      <c r="H1840">
        <v>1258</v>
      </c>
      <c r="I1840">
        <v>2025</v>
      </c>
      <c r="J1840">
        <v>1258</v>
      </c>
      <c r="K1840">
        <v>0.99861593724494013</v>
      </c>
      <c r="L1840">
        <f t="shared" ca="1" si="187"/>
        <v>325.41820641000004</v>
      </c>
      <c r="M1840">
        <f t="shared" si="188"/>
        <v>278.37420800000001</v>
      </c>
      <c r="N1840">
        <v>1258</v>
      </c>
      <c r="O1840">
        <f t="shared" ca="1" si="184"/>
        <v>1.1689955357142858</v>
      </c>
    </row>
    <row r="1841" spans="1:15" x14ac:dyDescent="0.2">
      <c r="A1841" t="str">
        <f ca="1">IFERROR(__xludf.DUMMYFUNCTION("""COMPUTED_VALUE"""),"km")</f>
        <v>km</v>
      </c>
      <c r="B1841" t="str">
        <f ca="1">IFERROR(__xludf.DUMMYFUNCTION("""COMPUTED_VALUE"""),"Model S 90D")</f>
        <v>Model S 90D</v>
      </c>
      <c r="C1841">
        <f ca="1">IFERROR(__xludf.DUMMYFUNCTION("""COMPUTED_VALUE"""),540)</f>
        <v>540</v>
      </c>
      <c r="D1841">
        <f ca="1">IFERROR(__xludf.DUMMYFUNCTION("""COMPUTED_VALUE"""),79000)</f>
        <v>79000</v>
      </c>
      <c r="E1841">
        <f ca="1">IFERROR(__xludf.DUMMYFUNCTION("""COMPUTED_VALUE"""),525)</f>
        <v>525</v>
      </c>
      <c r="F1841">
        <v>447</v>
      </c>
      <c r="G1841">
        <v>1.174496644295302</v>
      </c>
      <c r="H1841">
        <v>49088</v>
      </c>
      <c r="I1841">
        <v>79000</v>
      </c>
      <c r="J1841">
        <v>49088</v>
      </c>
      <c r="K1841">
        <v>0.95161619617304138</v>
      </c>
      <c r="L1841">
        <f t="shared" ca="1" si="187"/>
        <v>326.21977500000003</v>
      </c>
      <c r="M1841">
        <f t="shared" si="188"/>
        <v>277.752837</v>
      </c>
      <c r="N1841">
        <v>49088</v>
      </c>
      <c r="O1841">
        <f t="shared" ca="1" si="184"/>
        <v>1.1744966442953022</v>
      </c>
    </row>
    <row r="1842" spans="1:15" x14ac:dyDescent="0.2">
      <c r="A1842" t="str">
        <f ca="1">IFERROR(__xludf.DUMMYFUNCTION("""COMPUTED_VALUE"""),"km")</f>
        <v>km</v>
      </c>
      <c r="B1842" t="str">
        <f ca="1">IFERROR(__xludf.DUMMYFUNCTION("""COMPUTED_VALUE"""),"Model S 100D")</f>
        <v>Model S 100D</v>
      </c>
      <c r="C1842">
        <f ca="1">IFERROR(__xludf.DUMMYFUNCTION("""COMPUTED_VALUE"""),631)</f>
        <v>631</v>
      </c>
      <c r="D1842">
        <f ca="1">IFERROR(__xludf.DUMMYFUNCTION("""COMPUTED_VALUE"""),22244)</f>
        <v>22244</v>
      </c>
      <c r="E1842">
        <f ca="1">IFERROR(__xludf.DUMMYFUNCTION("""COMPUTED_VALUE"""),613)</f>
        <v>613</v>
      </c>
      <c r="F1842">
        <v>510</v>
      </c>
      <c r="G1842">
        <v>1.2019607843137254</v>
      </c>
      <c r="H1842">
        <v>13822</v>
      </c>
      <c r="I1842">
        <v>22244</v>
      </c>
      <c r="J1842">
        <v>13822</v>
      </c>
      <c r="K1842">
        <v>0.9852026384840149</v>
      </c>
      <c r="L1842">
        <f t="shared" ca="1" si="187"/>
        <v>380.90042299999999</v>
      </c>
      <c r="M1842">
        <f t="shared" si="188"/>
        <v>316.89920999999998</v>
      </c>
      <c r="N1842">
        <v>13822</v>
      </c>
      <c r="O1842">
        <f t="shared" ca="1" si="184"/>
        <v>1.2019607843137254</v>
      </c>
    </row>
    <row r="1843" spans="1:15" x14ac:dyDescent="0.2">
      <c r="A1843" t="str">
        <f ca="1">IFERROR(__xludf.DUMMYFUNCTION("""COMPUTED_VALUE"""),"km")</f>
        <v>km</v>
      </c>
      <c r="B1843" t="str">
        <f ca="1">IFERROR(__xludf.DUMMYFUNCTION("""COMPUTED_VALUE"""),"Model S P90D")</f>
        <v>Model S P90D</v>
      </c>
      <c r="C1843">
        <f ca="1">IFERROR(__xludf.DUMMYFUNCTION("""COMPUTED_VALUE"""),509)</f>
        <v>509</v>
      </c>
      <c r="D1843">
        <f ca="1">IFERROR(__xludf.DUMMYFUNCTION("""COMPUTED_VALUE"""),62668)</f>
        <v>62668</v>
      </c>
      <c r="E1843">
        <f ca="1">IFERROR(__xludf.DUMMYFUNCTION("""COMPUTED_VALUE"""),496)</f>
        <v>496</v>
      </c>
      <c r="F1843">
        <v>412</v>
      </c>
      <c r="G1843">
        <v>1.203883495145631</v>
      </c>
      <c r="H1843">
        <v>38940</v>
      </c>
      <c r="I1843">
        <v>62668</v>
      </c>
      <c r="J1843">
        <v>38940</v>
      </c>
      <c r="K1843">
        <v>0.96065237923580327</v>
      </c>
      <c r="L1843">
        <f t="shared" ca="1" si="187"/>
        <v>308.20001600000001</v>
      </c>
      <c r="M1843">
        <f t="shared" si="188"/>
        <v>256.00485200000003</v>
      </c>
      <c r="N1843">
        <v>38940</v>
      </c>
      <c r="O1843">
        <f t="shared" ca="1" si="184"/>
        <v>1.203883495145631</v>
      </c>
    </row>
    <row r="1844" spans="1:15" x14ac:dyDescent="0.2">
      <c r="A1844" t="str">
        <f ca="1">IFERROR(__xludf.DUMMYFUNCTION("""COMPUTED_VALUE"""),"km")</f>
        <v>km</v>
      </c>
      <c r="B1844" t="str">
        <f ca="1">IFERROR(__xludf.DUMMYFUNCTION("""COMPUTED_VALUE"""),"Model S 75")</f>
        <v>Model S 75</v>
      </c>
      <c r="D1844">
        <f ca="1">IFERROR(__xludf.DUMMYFUNCTION("""COMPUTED_VALUE"""),59680)</f>
        <v>59680</v>
      </c>
      <c r="E1844">
        <f ca="1">IFERROR(__xludf.DUMMYFUNCTION("""COMPUTED_VALUE"""),454)</f>
        <v>454</v>
      </c>
      <c r="F1844">
        <v>375</v>
      </c>
      <c r="G1844">
        <v>1.2106666666666666</v>
      </c>
      <c r="H1844">
        <v>37083</v>
      </c>
      <c r="I1844">
        <v>59680</v>
      </c>
      <c r="J1844">
        <v>37083</v>
      </c>
      <c r="K1844">
        <v>0.96236132587840861</v>
      </c>
      <c r="L1844">
        <f t="shared" ca="1" si="187"/>
        <v>282.10243400000002</v>
      </c>
      <c r="M1844">
        <f t="shared" si="188"/>
        <v>233.01412500000001</v>
      </c>
      <c r="N1844">
        <v>37083</v>
      </c>
      <c r="O1844">
        <f t="shared" ca="1" si="184"/>
        <v>1.2106666666666668</v>
      </c>
    </row>
    <row r="1845" spans="1:15" x14ac:dyDescent="0.2">
      <c r="A1845" t="str">
        <f ca="1">IFERROR(__xludf.DUMMYFUNCTION("""COMPUTED_VALUE"""),"km")</f>
        <v>km</v>
      </c>
      <c r="B1845" t="str">
        <f ca="1">IFERROR(__xludf.DUMMYFUNCTION("""COMPUTED_VALUE"""),"Model S 100D")</f>
        <v>Model S 100D</v>
      </c>
      <c r="C1845">
        <f ca="1">IFERROR(__xludf.DUMMYFUNCTION("""COMPUTED_VALUE"""),631)</f>
        <v>631</v>
      </c>
      <c r="D1845">
        <f ca="1">IFERROR(__xludf.DUMMYFUNCTION("""COMPUTED_VALUE"""),6952)</f>
        <v>6952</v>
      </c>
      <c r="E1845">
        <f ca="1">IFERROR(__xludf.DUMMYFUNCTION("""COMPUTED_VALUE"""),629)</f>
        <v>629</v>
      </c>
      <c r="F1845">
        <v>510</v>
      </c>
      <c r="G1845">
        <v>1.2333333333333334</v>
      </c>
      <c r="H1845">
        <v>4320</v>
      </c>
      <c r="I1845">
        <v>6952</v>
      </c>
      <c r="J1845">
        <v>4320</v>
      </c>
      <c r="K1845">
        <v>0.99527914516955007</v>
      </c>
      <c r="L1845">
        <f t="shared" ca="1" si="187"/>
        <v>390.84235899999999</v>
      </c>
      <c r="M1845">
        <f t="shared" si="188"/>
        <v>316.89920999999998</v>
      </c>
      <c r="N1845">
        <v>4320</v>
      </c>
      <c r="O1845">
        <f t="shared" ca="1" si="184"/>
        <v>1.2333333333333334</v>
      </c>
    </row>
    <row r="1846" spans="1:15" x14ac:dyDescent="0.2">
      <c r="A1846" t="str">
        <f ca="1">IFERROR(__xludf.DUMMYFUNCTION("""COMPUTED_VALUE"""),"km")</f>
        <v>km</v>
      </c>
      <c r="B1846" t="str">
        <f ca="1">IFERROR(__xludf.DUMMYFUNCTION("""COMPUTED_VALUE"""),"Model S 100D")</f>
        <v>Model S 100D</v>
      </c>
      <c r="C1846">
        <f ca="1">IFERROR(__xludf.DUMMYFUNCTION("""COMPUTED_VALUE"""),631)</f>
        <v>631</v>
      </c>
      <c r="D1846">
        <f ca="1">IFERROR(__xludf.DUMMYFUNCTION("""COMPUTED_VALUE"""),188)</f>
        <v>188</v>
      </c>
      <c r="E1846">
        <f ca="1">IFERROR(__xludf.DUMMYFUNCTION("""COMPUTED_VALUE"""),631)</f>
        <v>631</v>
      </c>
      <c r="F1846">
        <v>510</v>
      </c>
      <c r="G1846">
        <v>1.2372549019607844</v>
      </c>
      <c r="H1846">
        <v>117</v>
      </c>
      <c r="I1846">
        <v>188</v>
      </c>
      <c r="J1846">
        <v>117</v>
      </c>
      <c r="K1846">
        <v>0.9998711950265331</v>
      </c>
      <c r="L1846">
        <f t="shared" ca="1" si="187"/>
        <v>392.08510100000001</v>
      </c>
      <c r="M1846">
        <f t="shared" si="188"/>
        <v>316.89920999999998</v>
      </c>
      <c r="N1846">
        <v>117</v>
      </c>
      <c r="O1846">
        <f t="shared" ca="1" si="184"/>
        <v>1.2372549019607844</v>
      </c>
    </row>
    <row r="1847" spans="1:15" x14ac:dyDescent="0.2">
      <c r="A1847" t="str">
        <f ca="1">IFERROR(__xludf.DUMMYFUNCTION("""COMPUTED_VALUE"""),"km")</f>
        <v>km</v>
      </c>
      <c r="B1847" t="str">
        <f ca="1">IFERROR(__xludf.DUMMYFUNCTION("""COMPUTED_VALUE"""),"Model X 75D")</f>
        <v>Model X 75D</v>
      </c>
      <c r="C1847">
        <f ca="1">IFERROR(__xludf.DUMMYFUNCTION("""COMPUTED_VALUE"""),414)</f>
        <v>414</v>
      </c>
      <c r="D1847">
        <f ca="1">IFERROR(__xludf.DUMMYFUNCTION("""COMPUTED_VALUE"""),700)</f>
        <v>700</v>
      </c>
      <c r="E1847">
        <f ca="1">IFERROR(__xludf.DUMMYFUNCTION("""COMPUTED_VALUE"""),414)</f>
        <v>414</v>
      </c>
      <c r="F1847">
        <v>329</v>
      </c>
      <c r="G1847">
        <v>1.2583586626139818</v>
      </c>
      <c r="H1847">
        <v>435</v>
      </c>
      <c r="I1847">
        <v>700</v>
      </c>
      <c r="J1847">
        <v>435</v>
      </c>
      <c r="K1847">
        <v>0.99952072780459766</v>
      </c>
      <c r="L1847">
        <f t="shared" ca="1" si="187"/>
        <v>257.24759399999999</v>
      </c>
      <c r="M1847">
        <f t="shared" si="188"/>
        <v>204.431059</v>
      </c>
      <c r="N1847">
        <v>435</v>
      </c>
      <c r="O1847">
        <f t="shared" ca="1" si="184"/>
        <v>1.2583586626139818</v>
      </c>
    </row>
    <row r="1848" spans="1:15" x14ac:dyDescent="0.2">
      <c r="A1848" t="str">
        <f ca="1">IFERROR(__xludf.DUMMYFUNCTION("""COMPUTED_VALUE"""),"km")</f>
        <v>km</v>
      </c>
      <c r="B1848" t="str">
        <f ca="1">IFERROR(__xludf.DUMMYFUNCTION("""COMPUTED_VALUE"""),"Model S 60")</f>
        <v>Model S 60</v>
      </c>
      <c r="D1848">
        <f ca="1">IFERROR(__xludf.DUMMYFUNCTION("""COMPUTED_VALUE"""),20000)</f>
        <v>20000</v>
      </c>
      <c r="E1848">
        <f ca="1">IFERROR(__xludf.DUMMYFUNCTION("""COMPUTED_VALUE"""),440)</f>
        <v>440</v>
      </c>
      <c r="F1848">
        <v>284</v>
      </c>
      <c r="G1848">
        <v>1.5492957746478873</v>
      </c>
      <c r="H1848">
        <v>12427</v>
      </c>
      <c r="I1848">
        <v>20000</v>
      </c>
      <c r="J1848">
        <v>12427</v>
      </c>
      <c r="K1848">
        <v>0.98665460835518037</v>
      </c>
      <c r="L1848">
        <f t="shared" ca="1" si="187"/>
        <v>273.40323999999998</v>
      </c>
      <c r="M1848">
        <f t="shared" si="188"/>
        <v>176.46936400000001</v>
      </c>
      <c r="N1848">
        <v>12427</v>
      </c>
      <c r="O1848">
        <f t="shared" ca="1" si="184"/>
        <v>1.549295774647887</v>
      </c>
    </row>
    <row r="1849" spans="1:15" x14ac:dyDescent="0.2">
      <c r="A1849" t="str">
        <f ca="1">IFERROR(__xludf.DUMMYFUNCTION("""COMPUTED_VALUE"""),"km")</f>
        <v>km</v>
      </c>
      <c r="B1849" t="str">
        <f ca="1">IFERROR(__xludf.DUMMYFUNCTION("""COMPUTED_VALUE"""),"Model 3 SR+")</f>
        <v>Model 3 SR+</v>
      </c>
      <c r="C1849">
        <f ca="1">IFERROR(__xludf.DUMMYFUNCTION("""COMPUTED_VALUE"""),382)</f>
        <v>382</v>
      </c>
      <c r="D1849">
        <f ca="1">IFERROR(__xludf.DUMMYFUNCTION("""COMPUTED_VALUE"""),2000)</f>
        <v>2000</v>
      </c>
      <c r="E1849">
        <f ca="1">IFERROR(__xludf.DUMMYFUNCTION("""COMPUTED_VALUE"""),377)</f>
        <v>377</v>
      </c>
      <c r="F1849">
        <v>240</v>
      </c>
      <c r="G1849">
        <v>1.5708333333333333</v>
      </c>
      <c r="H1849">
        <v>1243</v>
      </c>
      <c r="I1849">
        <v>2000</v>
      </c>
      <c r="J1849">
        <v>1243</v>
      </c>
      <c r="K1849">
        <v>0.99863297963308328</v>
      </c>
      <c r="L1849">
        <f t="shared" ca="1" si="187"/>
        <v>234.256867</v>
      </c>
      <c r="M1849">
        <f t="shared" si="188"/>
        <v>149.12904</v>
      </c>
      <c r="N1849">
        <v>1243</v>
      </c>
      <c r="O1849">
        <f t="shared" ca="1" si="184"/>
        <v>1.5708333333333333</v>
      </c>
    </row>
    <row r="1850" spans="1:15" x14ac:dyDescent="0.2">
      <c r="A1850" t="str">
        <f ca="1">IFERROR(__xludf.DUMMYFUNCTION("""COMPUTED_VALUE"""),"km")</f>
        <v>km</v>
      </c>
      <c r="B1850" t="str">
        <f ca="1">IFERROR(__xludf.DUMMYFUNCTION("""COMPUTED_VALUE"""),"Model S 60")</f>
        <v>Model S 60</v>
      </c>
      <c r="D1850">
        <f ca="1">IFERROR(__xludf.DUMMYFUNCTION("""COMPUTED_VALUE"""),10000)</f>
        <v>10000</v>
      </c>
      <c r="E1850">
        <f ca="1">IFERROR(__xludf.DUMMYFUNCTION("""COMPUTED_VALUE"""),450)</f>
        <v>450</v>
      </c>
      <c r="F1850">
        <v>284</v>
      </c>
      <c r="G1850">
        <v>1.5845070422535212</v>
      </c>
      <c r="H1850">
        <v>6214</v>
      </c>
      <c r="I1850">
        <v>10000</v>
      </c>
      <c r="J1850">
        <v>6214</v>
      </c>
      <c r="K1850">
        <v>0.99323680524735491</v>
      </c>
      <c r="L1850">
        <f t="shared" ca="1" si="187"/>
        <v>279.61695000000003</v>
      </c>
      <c r="M1850">
        <f t="shared" si="188"/>
        <v>176.46936400000001</v>
      </c>
      <c r="N1850">
        <v>6214</v>
      </c>
      <c r="O1850">
        <f t="shared" ca="1" si="184"/>
        <v>1.5845070422535212</v>
      </c>
    </row>
    <row r="1851" spans="1:15" x14ac:dyDescent="0.2">
      <c r="A1851" t="str">
        <f ca="1">IFERROR(__xludf.DUMMYFUNCTION("""COMPUTED_VALUE"""),"km")</f>
        <v>km</v>
      </c>
      <c r="B1851" t="str">
        <f ca="1">IFERROR(__xludf.DUMMYFUNCTION("""COMPUTED_VALUE"""),"Model 3 SR+")</f>
        <v>Model 3 SR+</v>
      </c>
      <c r="C1851">
        <f ca="1">IFERROR(__xludf.DUMMYFUNCTION("""COMPUTED_VALUE"""),382)</f>
        <v>382</v>
      </c>
      <c r="D1851">
        <f ca="1">IFERROR(__xludf.DUMMYFUNCTION("""COMPUTED_VALUE"""),60)</f>
        <v>60</v>
      </c>
      <c r="E1851">
        <f ca="1">IFERROR(__xludf.DUMMYFUNCTION("""COMPUTED_VALUE"""),382)</f>
        <v>382</v>
      </c>
      <c r="F1851">
        <v>240</v>
      </c>
      <c r="G1851">
        <v>1.5916666666666666</v>
      </c>
      <c r="H1851">
        <v>37</v>
      </c>
      <c r="I1851">
        <v>60</v>
      </c>
      <c r="J1851">
        <v>37</v>
      </c>
      <c r="K1851">
        <v>0.99995888515731857</v>
      </c>
      <c r="L1851">
        <f t="shared" ca="1" si="187"/>
        <v>237.363722</v>
      </c>
      <c r="M1851">
        <f t="shared" si="188"/>
        <v>149.12904</v>
      </c>
      <c r="N1851">
        <v>37</v>
      </c>
      <c r="O1851">
        <f t="shared" ca="1" si="184"/>
        <v>1.5916666666666666</v>
      </c>
    </row>
    <row r="1852" spans="1:15" x14ac:dyDescent="0.2">
      <c r="A1852" t="str">
        <f ca="1">IFERROR(__xludf.DUMMYFUNCTION("""COMPUTED_VALUE"""),"km")</f>
        <v>km</v>
      </c>
      <c r="B1852" t="str">
        <f ca="1">IFERROR(__xludf.DUMMYFUNCTION("""COMPUTED_VALUE"""),"Model S 60")</f>
        <v>Model S 60</v>
      </c>
      <c r="D1852">
        <f ca="1">IFERROR(__xludf.DUMMYFUNCTION("""COMPUTED_VALUE"""),200)</f>
        <v>200</v>
      </c>
      <c r="E1852">
        <f ca="1">IFERROR(__xludf.DUMMYFUNCTION("""COMPUTED_VALUE"""),480)</f>
        <v>480</v>
      </c>
      <c r="F1852">
        <v>284</v>
      </c>
      <c r="G1852">
        <v>1.6901408450704225</v>
      </c>
      <c r="H1852">
        <v>124</v>
      </c>
      <c r="I1852">
        <v>200</v>
      </c>
      <c r="J1852">
        <v>124</v>
      </c>
      <c r="K1852">
        <v>0.99986297558022907</v>
      </c>
      <c r="L1852">
        <f t="shared" ca="1" si="187"/>
        <v>298.25808000000001</v>
      </c>
      <c r="M1852">
        <f t="shared" si="188"/>
        <v>176.46936400000001</v>
      </c>
      <c r="N1852">
        <v>124</v>
      </c>
      <c r="O1852">
        <f t="shared" ca="1" si="184"/>
        <v>1.6901408450704225</v>
      </c>
    </row>
    <row r="1853" spans="1:15" x14ac:dyDescent="0.2">
      <c r="A1853" t="str">
        <f ca="1">IFERROR(__xludf.DUMMYFUNCTION("""COMPUTED_VALUE"""),"km")</f>
        <v>km</v>
      </c>
      <c r="B1853" t="str">
        <f ca="1">IFERROR(__xludf.DUMMYFUNCTION("""COMPUTED_VALUE"""),"Model X P100D")</f>
        <v>Model X P100D</v>
      </c>
      <c r="C1853">
        <f ca="1">IFERROR(__xludf.DUMMYFUNCTION("""COMPUTED_VALUE"""),541)</f>
        <v>541</v>
      </c>
      <c r="D1853">
        <f ca="1">IFERROR(__xludf.DUMMYFUNCTION("""COMPUTED_VALUE"""),75000)</f>
        <v>75000</v>
      </c>
      <c r="E1853">
        <f ca="1">IFERROR(__xludf.DUMMYFUNCTION("""COMPUTED_VALUE"""),500)</f>
        <v>500</v>
      </c>
      <c r="F1853">
        <v>500</v>
      </c>
      <c r="G1853">
        <v>500</v>
      </c>
      <c r="H1853">
        <v>46603</v>
      </c>
      <c r="I1853">
        <v>75000</v>
      </c>
      <c r="J1853">
        <v>46603</v>
      </c>
      <c r="K1853">
        <v>0.95378141078373002</v>
      </c>
      <c r="L1853">
        <f t="shared" ca="1" si="187"/>
        <v>310.68549999999999</v>
      </c>
      <c r="M1853">
        <f t="shared" si="188"/>
        <v>310.68549999999999</v>
      </c>
      <c r="N1853">
        <v>46603</v>
      </c>
      <c r="O1853">
        <f t="shared" ca="1" si="184"/>
        <v>1</v>
      </c>
    </row>
  </sheetData>
  <autoFilter ref="B1:B1853" xr:uid="{33050A64-8774-3E43-A640-E2DBACD74606}"/>
  <sortState xmlns:xlrd2="http://schemas.microsoft.com/office/spreadsheetml/2017/richdata2" ref="A2:O1855">
    <sortCondition ref="O1:O185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Tayarani</dc:creator>
  <cp:lastModifiedBy>Hanif Tayarani</cp:lastModifiedBy>
  <dcterms:created xsi:type="dcterms:W3CDTF">2024-05-15T02:40:05Z</dcterms:created>
  <dcterms:modified xsi:type="dcterms:W3CDTF">2024-05-28T06:39:14Z</dcterms:modified>
</cp:coreProperties>
</file>