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56" windowHeight="10260" tabRatio="490" firstSheet="1" activeTab="3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39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</commentList>
</comments>
</file>

<file path=xl/sharedStrings.xml><?xml version="1.0" encoding="utf-8"?>
<sst xmlns="http://schemas.openxmlformats.org/spreadsheetml/2006/main" count="978" uniqueCount="468">
  <si>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</si>
  <si>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</si>
  <si>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</si>
  <si>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</si>
  <si>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</si>
  <si>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</si>
  <si>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</si>
  <si>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</si>
  <si>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</si>
  <si>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</si>
  <si>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</si>
  <si>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</si>
  <si>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</si>
  <si>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</si>
  <si>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</si>
  <si>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</si>
  <si>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</si>
  <si>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</si>
  <si>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</si>
  <si>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</si>
  <si>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</si>
  <si>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</si>
  <si>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</si>
  <si>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</si>
  <si>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</si>
  <si>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</si>
  <si>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</si>
  <si>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</si>
  <si>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</si>
  <si>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</si>
  <si>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</si>
  <si>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</si>
  <si>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</si>
  <si>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</si>
  <si>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</si>
  <si>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</si>
  <si>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</si>
  <si>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</si>
  <si>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</si>
  <si>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</si>
  <si>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</si>
  <si>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</si>
  <si>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</si>
  <si>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</si>
  <si>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</si>
  <si>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</si>
  <si>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</si>
  <si>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</si>
  <si>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</si>
  <si>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</si>
  <si>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</si>
  <si>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</si>
  <si>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</si>
  <si>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</si>
  <si>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</si>
  <si>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</si>
  <si>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</si>
  <si>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</si>
  <si>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</si>
  <si>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</si>
  <si>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</si>
  <si>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</si>
  <si>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</si>
  <si>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</si>
  <si>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</si>
  <si>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</si>
  <si>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</si>
  <si>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</si>
  <si>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</si>
  <si>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</si>
  <si>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</si>
  <si>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</si>
  <si>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</si>
  <si>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</si>
  <si>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</si>
  <si>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</si>
  <si>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</si>
  <si>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</si>
  <si>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</si>
  <si>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</si>
  <si>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</si>
  <si>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</si>
  <si>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</si>
  <si>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</si>
  <si>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</si>
  <si>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</si>
  <si>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</si>
  <si>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</si>
  <si>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</si>
  <si>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</si>
  <si>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</si>
  <si>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</si>
  <si>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</si>
  <si>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</si>
  <si>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</si>
  <si>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</si>
  <si>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</si>
  <si>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</si>
  <si>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</si>
  <si>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</si>
  <si>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</si>
  <si>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</si>
  <si>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</si>
  <si>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</si>
  <si>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</si>
  <si>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</si>
  <si>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</si>
  <si>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</si>
  <si>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</si>
  <si>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</si>
  <si>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</si>
  <si>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</si>
  <si>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</si>
  <si>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</si>
  <si>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</si>
  <si>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</si>
  <si>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</si>
  <si>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</si>
  <si>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</si>
  <si>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</si>
  <si>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</si>
  <si>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</si>
  <si>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</si>
  <si>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</si>
  <si>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</si>
  <si>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</si>
  <si>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</si>
  <si>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</si>
  <si>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</si>
  <si>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</si>
  <si>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</si>
  <si>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</si>
  <si>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</si>
  <si>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</si>
  <si>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</si>
  <si>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</si>
  <si>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</si>
  <si>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</si>
  <si>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</si>
  <si>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</si>
  <si>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</si>
  <si>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</si>
  <si>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</si>
  <si>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</si>
  <si>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</si>
  <si>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</si>
  <si>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</si>
  <si>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</si>
  <si>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</si>
  <si>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</si>
  <si>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</si>
  <si>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</si>
  <si>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</si>
  <si>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</si>
  <si>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</si>
  <si>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</si>
  <si>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</si>
  <si>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</si>
  <si>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</si>
  <si>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</si>
  <si>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</si>
  <si>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</si>
  <si>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</si>
  <si>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</si>
  <si>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</si>
  <si>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</si>
  <si>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</si>
  <si>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</si>
  <si>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</si>
  <si>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</si>
  <si>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</si>
  <si>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</si>
  <si>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</si>
  <si>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</si>
  <si>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</si>
  <si>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</si>
  <si>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</si>
  <si>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</si>
  <si>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</si>
  <si>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</si>
  <si>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</si>
  <si>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</si>
  <si>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</si>
  <si>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</si>
  <si>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</si>
  <si>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</si>
  <si>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</si>
  <si>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</si>
  <si>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</si>
  <si>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</si>
  <si>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</si>
  <si>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</si>
  <si>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</si>
  <si>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</si>
  <si>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</si>
  <si>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</si>
  <si>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</si>
  <si>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</si>
  <si>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</si>
  <si>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</si>
  <si>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</si>
  <si>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</si>
  <si>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</si>
  <si>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</si>
  <si>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</si>
  <si>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</si>
  <si>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</si>
  <si>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</si>
  <si>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</si>
  <si>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</si>
  <si>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</si>
  <si>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</si>
  <si>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</si>
  <si>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</si>
  <si>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</si>
  <si>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</si>
  <si>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</si>
  <si>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</si>
  <si>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</si>
  <si>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</si>
  <si>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</si>
  <si>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</si>
  <si>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</si>
  <si>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</si>
  <si>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</si>
  <si>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</si>
  <si>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</si>
  <si>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</si>
  <si>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</si>
  <si>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</si>
  <si>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</si>
  <si>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</si>
  <si>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</si>
  <si>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</si>
  <si>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</si>
  <si>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</si>
  <si>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</si>
  <si>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</si>
  <si>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</si>
  <si>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</si>
  <si>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</si>
  <si>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</si>
  <si>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</si>
  <si>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</si>
  <si>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</si>
  <si>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</si>
  <si>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</si>
  <si>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</si>
  <si>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</si>
  <si>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</si>
  <si>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</si>
  <si>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</si>
  <si>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</si>
  <si>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</si>
  <si>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</si>
  <si>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</si>
  <si>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</si>
  <si>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</si>
  <si>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</si>
  <si>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</si>
  <si>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</si>
  <si>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</si>
  <si>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</si>
  <si>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</si>
  <si>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</si>
  <si>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</si>
  <si>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</si>
  <si>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</si>
  <si>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</si>
  <si>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</si>
  <si>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</si>
  <si>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</si>
  <si>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</si>
  <si>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</si>
  <si>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</si>
  <si>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</si>
  <si>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</si>
  <si>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</si>
  <si>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</si>
  <si>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</si>
  <si>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</si>
  <si>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</si>
  <si>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</si>
  <si>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</si>
  <si>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</si>
  <si>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</si>
  <si>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</si>
  <si>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</si>
  <si>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</si>
  <si>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</si>
  <si>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</si>
  <si>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</si>
  <si>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</si>
  <si>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</si>
  <si>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</si>
  <si>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</si>
  <si>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</si>
  <si>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</si>
  <si>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</si>
  <si>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</si>
  <si>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</si>
  <si>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</si>
  <si>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</si>
  <si>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</si>
  <si>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</si>
  <si>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</si>
  <si>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</si>
  <si>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</si>
  <si>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</si>
  <si>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</si>
  <si>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</si>
  <si>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</si>
  <si>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</si>
  <si>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</si>
  <si>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</si>
  <si>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</si>
  <si>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</si>
  <si>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</si>
  <si>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</si>
  <si>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</si>
  <si>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</si>
  <si>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</si>
  <si>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</si>
  <si>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</si>
  <si>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</si>
  <si>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</si>
  <si>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</si>
  <si>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</si>
  <si>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</si>
  <si>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</si>
  <si>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</si>
  <si>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</si>
  <si>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</si>
  <si>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</si>
  <si>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</si>
  <si>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</si>
  <si>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</si>
  <si>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</si>
  <si>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</si>
  <si>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</si>
  <si>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</si>
  <si>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</si>
  <si>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</si>
  <si>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</si>
  <si>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</si>
  <si>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</si>
  <si>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</si>
  <si>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</si>
  <si>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</si>
  <si>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</si>
  <si>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</si>
  <si>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</si>
  <si>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</si>
  <si>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</si>
  <si>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</si>
  <si>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</si>
  <si>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</si>
  <si>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</si>
  <si>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</si>
  <si>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</si>
  <si>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</si>
  <si>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</si>
  <si>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</si>
  <si>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</si>
  <si>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</si>
  <si>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</si>
  <si>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</si>
  <si>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</si>
  <si>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</si>
  <si>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</si>
  <si>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</si>
  <si>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</si>
  <si>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</si>
  <si>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</si>
  <si>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</si>
  <si>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</si>
  <si>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</si>
  <si>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</si>
  <si>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</si>
  <si>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</si>
  <si>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</si>
  <si>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</si>
  <si>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</si>
  <si>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</si>
  <si>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</si>
  <si>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</si>
  <si>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</si>
  <si>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</si>
  <si>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</si>
  <si>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</si>
  <si>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</si>
  <si>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</si>
  <si>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</si>
  <si>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</si>
  <si>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</si>
  <si>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</si>
  <si>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</si>
  <si>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</si>
  <si>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</si>
  <si>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</si>
  <si>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</si>
  <si>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</si>
  <si>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</si>
  <si>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</si>
  <si>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</si>
  <si>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</si>
  <si>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</si>
  <si>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</si>
  <si>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(only constant-baseline-subtracted)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</si>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</sst>
</file>

<file path=xl/styles.xml><?xml version="1.0" encoding="utf-8"?>
<styleSheet xmlns="http://schemas.openxmlformats.org/spreadsheetml/2006/main">
  <numFmts count="13">
    <numFmt numFmtId="176" formatCode="0.000000000000000\ "/>
    <numFmt numFmtId="177" formatCode="0.000"/>
    <numFmt numFmtId="178" formatCode="0.0_ "/>
    <numFmt numFmtId="179" formatCode="0.000_ "/>
    <numFmt numFmtId="180" formatCode="0.00_ "/>
    <numFmt numFmtId="181" formatCode="0.00\ ;[Red]\(0.00\)"/>
    <numFmt numFmtId="182" formatCode="0_ "/>
    <numFmt numFmtId="44" formatCode="_(&quot;$&quot;* #,##0.00_);_(&quot;$&quot;* \(#,##0.00\);_(&quot;$&quot;* &quot;-&quot;??_);_(@_)"/>
    <numFmt numFmtId="183" formatCode="0.0000_ "/>
    <numFmt numFmtId="184" formatCode="_ * #,##0_ ;_ * \-#,##0_ ;_ * &quot;-&quot;_ ;_ @_ "/>
    <numFmt numFmtId="42" formatCode="_(&quot;$&quot;* #,##0_);_(&quot;$&quot;* \(#,##0\);_(&quot;$&quot;* &quot;-&quot;_);_(@_)"/>
    <numFmt numFmtId="185" formatCode="_ * #,##0.00_ ;_ * \-#,##0.00_ ;_ * &quot;-&quot;??_ ;_ @_ "/>
    <numFmt numFmtId="186" formatCode="0.0000"/>
  </numFmts>
  <fonts count="79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sz val="11"/>
      <color rgb="FF000000"/>
      <name val="Noto Mono"/>
      <charset val="134"/>
    </font>
    <font>
      <u/>
      <sz val="11"/>
      <color rgb="FF800080"/>
      <name val="新細明體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F7F7F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1" fillId="35" borderId="0" applyNumberFormat="0" applyBorder="0" applyAlignment="0" applyProtection="0">
      <alignment vertical="center"/>
    </xf>
    <xf numFmtId="0" fontId="64" fillId="9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32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8" fillId="0" borderId="37" applyNumberFormat="0" applyFill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61" fillId="24" borderId="0" applyNumberFormat="0" applyBorder="0" applyAlignment="0" applyProtection="0">
      <alignment vertical="center"/>
    </xf>
    <xf numFmtId="0" fontId="64" fillId="19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75" fillId="20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73" fillId="17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0" fillId="12" borderId="3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4" fillId="10" borderId="0" applyNumberFormat="0" applyBorder="0" applyAlignment="0" applyProtection="0">
      <alignment vertical="center"/>
    </xf>
    <xf numFmtId="0" fontId="5" fillId="13" borderId="40" applyNumberFormat="0" applyFont="0" applyAlignment="0" applyProtection="0">
      <alignment vertical="center"/>
    </xf>
    <xf numFmtId="0" fontId="76" fillId="22" borderId="38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12" borderId="38" applyNumberFormat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6" fillId="0" borderId="36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5" fillId="0" borderId="35" applyNumberFormat="0" applyFill="0" applyAlignment="0" applyProtection="0">
      <alignment vertical="center"/>
    </xf>
    <xf numFmtId="184" fontId="5" fillId="0" borderId="0" applyFont="0" applyFill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0" fillId="0" borderId="35" applyNumberFormat="0" applyFill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0" fontId="77" fillId="33" borderId="42" applyNumberFormat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Border="0" applyProtection="0"/>
  </cellStyleXfs>
  <cellXfs count="340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1" fontId="2" fillId="0" borderId="5" xfId="0" applyNumberFormat="1" applyFont="1" applyBorder="1" applyAlignment="1">
      <alignment wrapText="1"/>
    </xf>
    <xf numFmtId="181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1" fontId="1" fillId="0" borderId="7" xfId="0" applyNumberFormat="1" applyFont="1" applyBorder="1" applyAlignment="1">
      <alignment wrapText="1"/>
    </xf>
    <xf numFmtId="181" fontId="4" fillId="0" borderId="0" xfId="0" applyNumberFormat="1" applyFont="1" applyAlignment="1">
      <alignment wrapText="1"/>
    </xf>
    <xf numFmtId="181" fontId="1" fillId="0" borderId="8" xfId="0" applyNumberFormat="1" applyFont="1" applyBorder="1" applyAlignment="1">
      <alignment wrapText="1"/>
    </xf>
    <xf numFmtId="181" fontId="2" fillId="0" borderId="0" xfId="0" applyNumberFormat="1" applyFont="1" applyAlignment="1">
      <alignment wrapText="1"/>
    </xf>
    <xf numFmtId="181" fontId="4" fillId="0" borderId="9" xfId="0" applyNumberFormat="1" applyFont="1" applyBorder="1" applyAlignment="1">
      <alignment wrapText="1"/>
    </xf>
    <xf numFmtId="181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1" fontId="3" fillId="0" borderId="11" xfId="0" applyNumberFormat="1" applyFont="1" applyBorder="1" applyAlignment="1">
      <alignment wrapText="1"/>
    </xf>
    <xf numFmtId="181" fontId="1" fillId="0" borderId="0" xfId="0" applyNumberFormat="1" applyFont="1" applyAlignment="1">
      <alignment wrapText="1"/>
    </xf>
    <xf numFmtId="181" fontId="1" fillId="0" borderId="11" xfId="0" applyNumberFormat="1" applyFont="1" applyBorder="1" applyAlignment="1">
      <alignment wrapText="1"/>
    </xf>
    <xf numFmtId="181" fontId="3" fillId="0" borderId="12" xfId="0" applyNumberFormat="1" applyFont="1" applyBorder="1" applyAlignment="1">
      <alignment wrapText="1"/>
    </xf>
    <xf numFmtId="181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1" fontId="1" fillId="0" borderId="16" xfId="0" applyNumberFormat="1" applyFont="1" applyBorder="1" applyAlignment="1">
      <alignment wrapText="1"/>
    </xf>
    <xf numFmtId="181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1" fontId="4" fillId="0" borderId="18" xfId="0" applyNumberFormat="1" applyFont="1" applyBorder="1" applyAlignment="1">
      <alignment wrapText="1"/>
    </xf>
    <xf numFmtId="181" fontId="1" fillId="0" borderId="6" xfId="0" applyNumberFormat="1" applyFont="1" applyBorder="1" applyAlignment="1">
      <alignment wrapText="1"/>
    </xf>
    <xf numFmtId="181" fontId="4" fillId="0" borderId="8" xfId="0" applyNumberFormat="1" applyFont="1" applyBorder="1" applyAlignment="1">
      <alignment wrapText="1"/>
    </xf>
    <xf numFmtId="181" fontId="7" fillId="0" borderId="0" xfId="0" applyNumberFormat="1" applyFont="1" applyAlignment="1">
      <alignment wrapText="1"/>
    </xf>
    <xf numFmtId="181" fontId="4" fillId="0" borderId="19" xfId="0" applyNumberFormat="1" applyFont="1" applyBorder="1" applyAlignment="1">
      <alignment wrapText="1"/>
    </xf>
    <xf numFmtId="181" fontId="8" fillId="0" borderId="8" xfId="0" applyNumberFormat="1" applyFont="1" applyBorder="1"/>
    <xf numFmtId="181" fontId="1" fillId="0" borderId="10" xfId="0" applyNumberFormat="1" applyFont="1" applyBorder="1" applyAlignment="1">
      <alignment wrapText="1"/>
    </xf>
    <xf numFmtId="181" fontId="2" fillId="0" borderId="12" xfId="0" applyNumberFormat="1" applyFont="1" applyBorder="1" applyAlignment="1">
      <alignment wrapText="1"/>
    </xf>
    <xf numFmtId="181" fontId="9" fillId="0" borderId="13" xfId="0" applyNumberFormat="1" applyFont="1" applyBorder="1" applyAlignment="1">
      <alignment wrapText="1"/>
    </xf>
    <xf numFmtId="181" fontId="1" fillId="0" borderId="0" xfId="0" applyNumberFormat="1" applyFont="1"/>
    <xf numFmtId="181" fontId="2" fillId="0" borderId="0" xfId="0" applyNumberFormat="1" applyFont="1"/>
    <xf numFmtId="181" fontId="10" fillId="0" borderId="11" xfId="0" applyNumberFormat="1" applyFont="1" applyBorder="1" applyAlignment="1">
      <alignment wrapText="1"/>
    </xf>
    <xf numFmtId="181" fontId="10" fillId="0" borderId="0" xfId="0" applyNumberFormat="1" applyFont="1" applyAlignment="1">
      <alignment wrapText="1"/>
    </xf>
    <xf numFmtId="181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1" fontId="3" fillId="0" borderId="21" xfId="0" applyNumberFormat="1" applyFont="1" applyBorder="1" applyAlignment="1">
      <alignment wrapText="1"/>
    </xf>
    <xf numFmtId="181" fontId="1" fillId="0" borderId="9" xfId="0" applyNumberFormat="1" applyFont="1" applyBorder="1" applyAlignment="1">
      <alignment wrapText="1"/>
    </xf>
    <xf numFmtId="181" fontId="2" fillId="0" borderId="13" xfId="0" applyNumberFormat="1" applyFont="1" applyBorder="1" applyAlignment="1">
      <alignment wrapText="1"/>
    </xf>
    <xf numFmtId="181" fontId="10" fillId="0" borderId="13" xfId="0" applyNumberFormat="1" applyFont="1" applyBorder="1" applyAlignment="1">
      <alignment wrapText="1"/>
    </xf>
    <xf numFmtId="181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1" fontId="1" fillId="0" borderId="18" xfId="0" applyNumberFormat="1" applyFont="1" applyBorder="1" applyAlignment="1">
      <alignment wrapText="1"/>
    </xf>
    <xf numFmtId="181" fontId="1" fillId="0" borderId="19" xfId="0" applyNumberFormat="1" applyFont="1" applyBorder="1" applyAlignment="1">
      <alignment wrapText="1"/>
    </xf>
    <xf numFmtId="181" fontId="10" fillId="0" borderId="8" xfId="0" applyNumberFormat="1" applyFont="1" applyBorder="1" applyAlignment="1">
      <alignment wrapText="1"/>
    </xf>
    <xf numFmtId="181" fontId="10" fillId="0" borderId="19" xfId="0" applyNumberFormat="1" applyFont="1" applyBorder="1" applyAlignment="1">
      <alignment wrapText="1"/>
    </xf>
    <xf numFmtId="181" fontId="10" fillId="0" borderId="16" xfId="0" applyNumberFormat="1" applyFont="1" applyBorder="1" applyAlignment="1">
      <alignment wrapText="1"/>
    </xf>
    <xf numFmtId="181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1" fontId="1" fillId="0" borderId="24" xfId="0" applyNumberFormat="1" applyFont="1" applyBorder="1" applyAlignment="1">
      <alignment wrapText="1"/>
    </xf>
    <xf numFmtId="181" fontId="1" fillId="0" borderId="25" xfId="0" applyNumberFormat="1" applyFont="1" applyBorder="1" applyAlignment="1">
      <alignment wrapText="1"/>
    </xf>
    <xf numFmtId="181" fontId="1" fillId="0" borderId="26" xfId="0" applyNumberFormat="1" applyFont="1" applyBorder="1" applyAlignment="1">
      <alignment wrapText="1"/>
    </xf>
    <xf numFmtId="181" fontId="1" fillId="0" borderId="27" xfId="0" applyNumberFormat="1" applyFont="1" applyBorder="1" applyAlignment="1">
      <alignment wrapText="1"/>
    </xf>
    <xf numFmtId="181" fontId="10" fillId="0" borderId="27" xfId="0" applyNumberFormat="1" applyFont="1" applyBorder="1" applyAlignment="1">
      <alignment wrapText="1"/>
    </xf>
    <xf numFmtId="181" fontId="10" fillId="0" borderId="25" xfId="0" applyNumberFormat="1" applyFont="1" applyBorder="1" applyAlignment="1">
      <alignment wrapText="1"/>
    </xf>
    <xf numFmtId="181" fontId="10" fillId="0" borderId="28" xfId="0" applyNumberFormat="1" applyFont="1" applyBorder="1" applyAlignment="1">
      <alignment wrapText="1"/>
    </xf>
    <xf numFmtId="180" fontId="11" fillId="0" borderId="0" xfId="0" applyNumberFormat="1" applyFont="1"/>
    <xf numFmtId="180" fontId="12" fillId="0" borderId="0" xfId="48" applyNumberFormat="1" applyFont="1"/>
    <xf numFmtId="0" fontId="13" fillId="0" borderId="0" xfId="48"/>
    <xf numFmtId="180" fontId="14" fillId="0" borderId="0" xfId="0" applyNumberFormat="1" applyFont="1"/>
    <xf numFmtId="180" fontId="15" fillId="0" borderId="0" xfId="0" applyNumberFormat="1" applyFont="1"/>
    <xf numFmtId="180" fontId="14" fillId="0" borderId="0" xfId="0" applyNumberFormat="1" applyFont="1" applyAlignment="1">
      <alignment wrapText="1"/>
    </xf>
    <xf numFmtId="180" fontId="5" fillId="0" borderId="0" xfId="0" applyNumberFormat="1" applyFont="1" applyFill="1" applyAlignment="1">
      <alignment vertical="center"/>
    </xf>
    <xf numFmtId="180" fontId="11" fillId="0" borderId="12" xfId="0" applyNumberFormat="1" applyFont="1" applyBorder="1"/>
    <xf numFmtId="180" fontId="11" fillId="0" borderId="9" xfId="0" applyNumberFormat="1" applyFont="1" applyBorder="1"/>
    <xf numFmtId="180" fontId="11" fillId="0" borderId="11" xfId="0" applyNumberFormat="1" applyFont="1" applyBorder="1"/>
    <xf numFmtId="180" fontId="11" fillId="0" borderId="7" xfId="0" applyNumberFormat="1" applyFont="1" applyBorder="1"/>
    <xf numFmtId="180" fontId="11" fillId="0" borderId="13" xfId="0" applyNumberFormat="1" applyFont="1" applyBorder="1"/>
    <xf numFmtId="180" fontId="11" fillId="0" borderId="19" xfId="0" applyNumberFormat="1" applyFont="1" applyBorder="1"/>
    <xf numFmtId="180" fontId="11" fillId="0" borderId="10" xfId="0" applyNumberFormat="1" applyFont="1" applyBorder="1"/>
    <xf numFmtId="180" fontId="11" fillId="0" borderId="8" xfId="0" applyNumberFormat="1" applyFont="1" applyBorder="1"/>
    <xf numFmtId="180" fontId="11" fillId="0" borderId="0" xfId="0" applyNumberFormat="1" applyFont="1" applyBorder="1"/>
    <xf numFmtId="0" fontId="16" fillId="0" borderId="0" xfId="0" applyFont="1"/>
    <xf numFmtId="0" fontId="17" fillId="0" borderId="0" xfId="0" applyFont="1"/>
    <xf numFmtId="183" fontId="16" fillId="0" borderId="0" xfId="0" applyNumberFormat="1" applyFont="1"/>
    <xf numFmtId="183" fontId="17" fillId="0" borderId="0" xfId="0" applyNumberFormat="1" applyFont="1"/>
    <xf numFmtId="180" fontId="16" fillId="0" borderId="0" xfId="0" applyNumberFormat="1" applyFont="1"/>
    <xf numFmtId="0" fontId="18" fillId="0" borderId="0" xfId="48" applyFont="1"/>
    <xf numFmtId="180" fontId="17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9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13" fillId="0" borderId="0" xfId="48" applyNumberFormat="1" applyFont="1" applyFill="1" applyAlignment="1">
      <alignment wrapText="1"/>
    </xf>
    <xf numFmtId="0" fontId="12" fillId="0" borderId="0" xfId="48" applyNumberFormat="1" applyFont="1" applyFill="1" applyAlignment="1">
      <alignment wrapText="1"/>
    </xf>
    <xf numFmtId="0" fontId="21" fillId="0" borderId="0" xfId="0" applyFont="1"/>
    <xf numFmtId="0" fontId="21" fillId="0" borderId="3" xfId="0" applyFont="1" applyBorder="1"/>
    <xf numFmtId="179" fontId="21" fillId="0" borderId="3" xfId="0" applyNumberFormat="1" applyFont="1" applyBorder="1"/>
    <xf numFmtId="0" fontId="22" fillId="0" borderId="0" xfId="48" applyFont="1"/>
    <xf numFmtId="179" fontId="23" fillId="0" borderId="3" xfId="0" applyNumberFormat="1" applyFont="1" applyBorder="1"/>
    <xf numFmtId="0" fontId="23" fillId="0" borderId="3" xfId="0" applyFont="1" applyBorder="1"/>
    <xf numFmtId="179" fontId="21" fillId="3" borderId="3" xfId="0" applyNumberFormat="1" applyFont="1" applyFill="1" applyBorder="1"/>
    <xf numFmtId="0" fontId="21" fillId="0" borderId="0" xfId="0" applyFont="1" applyBorder="1"/>
    <xf numFmtId="0" fontId="21" fillId="3" borderId="3" xfId="0" applyFont="1" applyFill="1" applyBorder="1"/>
    <xf numFmtId="179" fontId="21" fillId="0" borderId="0" xfId="0" applyNumberFormat="1" applyFont="1" applyBorder="1"/>
    <xf numFmtId="0" fontId="12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4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wrapText="1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28" fillId="0" borderId="0" xfId="0" applyFont="1" applyAlignment="1">
      <alignment wrapText="1"/>
    </xf>
    <xf numFmtId="0" fontId="35" fillId="0" borderId="0" xfId="0" applyFont="1"/>
    <xf numFmtId="0" fontId="1" fillId="0" borderId="0" xfId="0" applyFont="1" applyAlignment="1">
      <alignment wrapText="1"/>
    </xf>
    <xf numFmtId="0" fontId="36" fillId="0" borderId="0" xfId="0" applyFont="1"/>
    <xf numFmtId="0" fontId="8" fillId="0" borderId="0" xfId="0" applyFont="1"/>
    <xf numFmtId="0" fontId="2" fillId="0" borderId="3" xfId="0" applyFont="1" applyBorder="1"/>
    <xf numFmtId="183" fontId="2" fillId="0" borderId="3" xfId="0" applyNumberFormat="1" applyFont="1" applyBorder="1"/>
    <xf numFmtId="183" fontId="36" fillId="0" borderId="3" xfId="0" applyNumberFormat="1" applyFont="1" applyBorder="1"/>
    <xf numFmtId="180" fontId="2" fillId="0" borderId="0" xfId="0" applyNumberFormat="1" applyFont="1"/>
    <xf numFmtId="180" fontId="36" fillId="0" borderId="0" xfId="0" applyNumberFormat="1" applyFont="1"/>
    <xf numFmtId="0" fontId="37" fillId="0" borderId="0" xfId="0" applyFont="1"/>
    <xf numFmtId="0" fontId="37" fillId="0" borderId="0" xfId="0" applyFont="1" applyAlignment="1">
      <alignment wrapText="1"/>
    </xf>
    <xf numFmtId="183" fontId="2" fillId="0" borderId="0" xfId="0" applyNumberFormat="1" applyFont="1"/>
    <xf numFmtId="183" fontId="36" fillId="0" borderId="0" xfId="0" applyNumberFormat="1" applyFont="1"/>
    <xf numFmtId="0" fontId="2" fillId="0" borderId="29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1" xfId="0" applyFont="1" applyBorder="1"/>
    <xf numFmtId="0" fontId="2" fillId="0" borderId="25" xfId="0" applyFont="1" applyBorder="1"/>
    <xf numFmtId="178" fontId="2" fillId="0" borderId="0" xfId="0" applyNumberFormat="1" applyFont="1"/>
    <xf numFmtId="178" fontId="1" fillId="0" borderId="0" xfId="0" applyNumberFormat="1" applyFont="1"/>
    <xf numFmtId="178" fontId="27" fillId="0" borderId="0" xfId="0" applyNumberFormat="1" applyFont="1"/>
    <xf numFmtId="178" fontId="29" fillId="0" borderId="0" xfId="0" applyNumberFormat="1" applyFont="1"/>
    <xf numFmtId="178" fontId="31" fillId="0" borderId="0" xfId="0" applyNumberFormat="1" applyFont="1"/>
    <xf numFmtId="178" fontId="1" fillId="0" borderId="0" xfId="0" applyNumberFormat="1" applyFont="1" applyAlignment="1">
      <alignment wrapText="1"/>
    </xf>
    <xf numFmtId="178" fontId="38" fillId="0" borderId="0" xfId="0" applyNumberFormat="1" applyFont="1"/>
    <xf numFmtId="178" fontId="39" fillId="0" borderId="0" xfId="0" applyNumberFormat="1" applyFont="1"/>
    <xf numFmtId="178" fontId="40" fillId="0" borderId="0" xfId="0" applyNumberFormat="1" applyFont="1"/>
    <xf numFmtId="178" fontId="41" fillId="0" borderId="0" xfId="0" applyNumberFormat="1" applyFont="1"/>
    <xf numFmtId="178" fontId="33" fillId="0" borderId="0" xfId="0" applyNumberFormat="1" applyFont="1"/>
    <xf numFmtId="178" fontId="2" fillId="0" borderId="0" xfId="0" applyNumberFormat="1" applyFont="1" applyAlignment="1">
      <alignment wrapText="1"/>
    </xf>
    <xf numFmtId="178" fontId="7" fillId="0" borderId="0" xfId="0" applyNumberFormat="1" applyFont="1"/>
    <xf numFmtId="0" fontId="19" fillId="0" borderId="0" xfId="0" applyFont="1"/>
    <xf numFmtId="0" fontId="19" fillId="0" borderId="4" xfId="0" applyFont="1" applyBorder="1"/>
    <xf numFmtId="0" fontId="1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/>
    <xf numFmtId="0" fontId="19" fillId="0" borderId="3" xfId="0" applyFont="1" applyBorder="1"/>
    <xf numFmtId="0" fontId="19" fillId="0" borderId="4" xfId="0" applyFont="1" applyBorder="1" applyAlignment="1">
      <alignment horizontal="center" vertical="center"/>
    </xf>
    <xf numFmtId="186" fontId="20" fillId="0" borderId="21" xfId="0" applyNumberFormat="1" applyFont="1" applyBorder="1" applyAlignment="1">
      <alignment wrapText="1"/>
    </xf>
    <xf numFmtId="186" fontId="42" fillId="0" borderId="6" xfId="0" applyNumberFormat="1" applyFont="1" applyBorder="1" applyAlignment="1">
      <alignment wrapText="1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86" fontId="20" fillId="0" borderId="11" xfId="0" applyNumberFormat="1" applyFont="1" applyBorder="1" applyAlignment="1">
      <alignment wrapText="1"/>
    </xf>
    <xf numFmtId="186" fontId="43" fillId="0" borderId="0" xfId="0" applyNumberFormat="1" applyFont="1" applyAlignment="1">
      <alignment wrapText="1"/>
    </xf>
    <xf numFmtId="186" fontId="43" fillId="0" borderId="9" xfId="0" applyNumberFormat="1" applyFont="1" applyBorder="1" applyAlignment="1">
      <alignment wrapText="1"/>
    </xf>
    <xf numFmtId="186" fontId="43" fillId="0" borderId="10" xfId="0" applyNumberFormat="1" applyFont="1" applyBorder="1" applyAlignment="1">
      <alignment wrapText="1"/>
    </xf>
    <xf numFmtId="186" fontId="44" fillId="0" borderId="0" xfId="0" applyNumberFormat="1" applyFont="1" applyAlignment="1">
      <alignment wrapText="1"/>
    </xf>
    <xf numFmtId="186" fontId="42" fillId="0" borderId="11" xfId="0" applyNumberFormat="1" applyFont="1" applyBorder="1" applyAlignment="1">
      <alignment wrapText="1"/>
    </xf>
    <xf numFmtId="186" fontId="20" fillId="0" borderId="0" xfId="0" applyNumberFormat="1" applyFont="1" applyAlignment="1">
      <alignment wrapText="1"/>
    </xf>
    <xf numFmtId="186" fontId="20" fillId="0" borderId="12" xfId="0" applyNumberFormat="1" applyFont="1" applyBorder="1" applyAlignment="1">
      <alignment wrapText="1"/>
    </xf>
    <xf numFmtId="186" fontId="42" fillId="0" borderId="13" xfId="0" applyNumberFormat="1" applyFont="1" applyBorder="1" applyAlignment="1">
      <alignment wrapText="1"/>
    </xf>
    <xf numFmtId="186" fontId="42" fillId="0" borderId="0" xfId="0" applyNumberFormat="1" applyFont="1" applyAlignment="1">
      <alignment wrapText="1"/>
    </xf>
    <xf numFmtId="0" fontId="19" fillId="0" borderId="14" xfId="0" applyFont="1" applyBorder="1" applyAlignment="1">
      <alignment horizontal="center" vertical="center"/>
    </xf>
    <xf numFmtId="186" fontId="20" fillId="0" borderId="13" xfId="0" applyNumberFormat="1" applyFont="1" applyBorder="1" applyAlignment="1">
      <alignment wrapText="1"/>
    </xf>
    <xf numFmtId="0" fontId="19" fillId="0" borderId="15" xfId="0" applyFont="1" applyBorder="1" applyAlignment="1">
      <alignment horizontal="center" vertical="center"/>
    </xf>
    <xf numFmtId="186" fontId="20" fillId="0" borderId="16" xfId="0" applyNumberFormat="1" applyFont="1" applyBorder="1" applyAlignment="1">
      <alignment wrapText="1"/>
    </xf>
    <xf numFmtId="186" fontId="20" fillId="0" borderId="17" xfId="0" applyNumberFormat="1" applyFont="1" applyBorder="1" applyAlignment="1">
      <alignment wrapText="1"/>
    </xf>
    <xf numFmtId="0" fontId="19" fillId="0" borderId="0" xfId="0" applyFont="1" applyAlignment="1">
      <alignment horizontal="center" vertical="center"/>
    </xf>
    <xf numFmtId="186" fontId="19" fillId="0" borderId="0" xfId="0" applyNumberFormat="1" applyFont="1" applyAlignment="1">
      <alignment wrapText="1"/>
    </xf>
    <xf numFmtId="0" fontId="19" fillId="0" borderId="32" xfId="0" applyFont="1" applyBorder="1"/>
    <xf numFmtId="0" fontId="19" fillId="0" borderId="33" xfId="0" applyFont="1" applyBorder="1"/>
    <xf numFmtId="10" fontId="20" fillId="0" borderId="21" xfId="0" applyNumberFormat="1" applyFont="1" applyFill="1" applyBorder="1" applyAlignment="1">
      <alignment wrapText="1"/>
    </xf>
    <xf numFmtId="10" fontId="42" fillId="0" borderId="6" xfId="0" applyNumberFormat="1" applyFont="1" applyFill="1" applyBorder="1" applyAlignment="1">
      <alignment wrapText="1"/>
    </xf>
    <xf numFmtId="10" fontId="20" fillId="0" borderId="11" xfId="0" applyNumberFormat="1" applyFont="1" applyFill="1" applyBorder="1" applyAlignment="1">
      <alignment wrapText="1"/>
    </xf>
    <xf numFmtId="10" fontId="42" fillId="0" borderId="0" xfId="0" applyNumberFormat="1" applyFont="1" applyFill="1" applyAlignment="1">
      <alignment wrapText="1"/>
    </xf>
    <xf numFmtId="10" fontId="45" fillId="0" borderId="9" xfId="0" applyNumberFormat="1" applyFont="1" applyFill="1" applyBorder="1" applyAlignment="1">
      <alignment wrapText="1"/>
    </xf>
    <xf numFmtId="10" fontId="44" fillId="0" borderId="10" xfId="0" applyNumberFormat="1" applyFont="1" applyFill="1" applyBorder="1" applyAlignment="1">
      <alignment wrapText="1"/>
    </xf>
    <xf numFmtId="10" fontId="46" fillId="0" borderId="11" xfId="0" applyNumberFormat="1" applyFont="1" applyFill="1" applyBorder="1" applyAlignment="1">
      <alignment wrapText="1"/>
    </xf>
    <xf numFmtId="10" fontId="47" fillId="0" borderId="0" xfId="0" applyNumberFormat="1" applyFont="1" applyFill="1" applyAlignment="1">
      <alignment wrapText="1"/>
    </xf>
    <xf numFmtId="10" fontId="47" fillId="0" borderId="11" xfId="0" applyNumberFormat="1" applyFont="1" applyFill="1" applyBorder="1" applyAlignment="1">
      <alignment wrapText="1"/>
    </xf>
    <xf numFmtId="10" fontId="20" fillId="0" borderId="0" xfId="0" applyNumberFormat="1" applyFont="1" applyFill="1" applyAlignment="1">
      <alignment wrapText="1"/>
    </xf>
    <xf numFmtId="10" fontId="20" fillId="0" borderId="12" xfId="0" applyNumberFormat="1" applyFont="1" applyFill="1" applyBorder="1" applyAlignment="1">
      <alignment wrapText="1"/>
    </xf>
    <xf numFmtId="10" fontId="42" fillId="0" borderId="13" xfId="0" applyNumberFormat="1" applyFont="1" applyFill="1" applyBorder="1" applyAlignment="1">
      <alignment wrapText="1"/>
    </xf>
    <xf numFmtId="10" fontId="42" fillId="0" borderId="11" xfId="0" applyNumberFormat="1" applyFont="1" applyFill="1" applyBorder="1" applyAlignment="1">
      <alignment wrapText="1"/>
    </xf>
    <xf numFmtId="10" fontId="46" fillId="0" borderId="12" xfId="0" applyNumberFormat="1" applyFont="1" applyFill="1" applyBorder="1" applyAlignment="1">
      <alignment wrapText="1"/>
    </xf>
    <xf numFmtId="10" fontId="46" fillId="0" borderId="13" xfId="0" applyNumberFormat="1" applyFont="1" applyFill="1" applyBorder="1" applyAlignment="1">
      <alignment wrapText="1"/>
    </xf>
    <xf numFmtId="10" fontId="46" fillId="0" borderId="0" xfId="0" applyNumberFormat="1" applyFont="1" applyFill="1" applyAlignment="1">
      <alignment wrapText="1"/>
    </xf>
    <xf numFmtId="10" fontId="46" fillId="0" borderId="16" xfId="0" applyNumberFormat="1" applyFont="1" applyFill="1" applyBorder="1" applyAlignment="1">
      <alignment wrapText="1"/>
    </xf>
    <xf numFmtId="10" fontId="46" fillId="0" borderId="17" xfId="0" applyNumberFormat="1" applyFont="1" applyFill="1" applyBorder="1" applyAlignment="1">
      <alignment wrapText="1"/>
    </xf>
    <xf numFmtId="0" fontId="43" fillId="0" borderId="0" xfId="0" applyFont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10" fontId="49" fillId="0" borderId="0" xfId="0" applyNumberFormat="1" applyFont="1" applyAlignment="1">
      <alignment wrapText="1"/>
    </xf>
    <xf numFmtId="10" fontId="20" fillId="0" borderId="0" xfId="0" applyNumberFormat="1" applyFont="1" applyAlignment="1">
      <alignment wrapText="1"/>
    </xf>
    <xf numFmtId="0" fontId="43" fillId="0" borderId="0" xfId="0" applyFont="1"/>
    <xf numFmtId="10" fontId="50" fillId="0" borderId="21" xfId="0" applyNumberFormat="1" applyFont="1" applyFill="1" applyBorder="1" applyAlignment="1">
      <alignment wrapText="1"/>
    </xf>
    <xf numFmtId="10" fontId="50" fillId="0" borderId="6" xfId="0" applyNumberFormat="1" applyFont="1" applyFill="1" applyBorder="1" applyAlignment="1">
      <alignment wrapText="1"/>
    </xf>
    <xf numFmtId="10" fontId="50" fillId="0" borderId="11" xfId="0" applyNumberFormat="1" applyFont="1" applyFill="1" applyBorder="1" applyAlignment="1">
      <alignment wrapText="1"/>
    </xf>
    <xf numFmtId="10" fontId="51" fillId="0" borderId="0" xfId="0" applyNumberFormat="1" applyFont="1" applyFill="1" applyAlignment="1">
      <alignment wrapText="1"/>
    </xf>
    <xf numFmtId="10" fontId="50" fillId="0" borderId="0" xfId="0" applyNumberFormat="1" applyFont="1" applyFill="1" applyAlignment="1">
      <alignment wrapText="1"/>
    </xf>
    <xf numFmtId="10" fontId="51" fillId="0" borderId="9" xfId="0" applyNumberFormat="1" applyFont="1" applyFill="1" applyBorder="1" applyAlignment="1">
      <alignment wrapText="1"/>
    </xf>
    <xf numFmtId="10" fontId="51" fillId="0" borderId="10" xfId="0" applyNumberFormat="1" applyFont="1" applyFill="1" applyBorder="1" applyAlignment="1">
      <alignment wrapText="1"/>
    </xf>
    <xf numFmtId="10" fontId="51" fillId="0" borderId="11" xfId="0" applyNumberFormat="1" applyFont="1" applyFill="1" applyBorder="1" applyAlignment="1">
      <alignment wrapText="1"/>
    </xf>
    <xf numFmtId="10" fontId="50" fillId="0" borderId="12" xfId="0" applyNumberFormat="1" applyFont="1" applyFill="1" applyBorder="1" applyAlignment="1">
      <alignment wrapText="1"/>
    </xf>
    <xf numFmtId="10" fontId="51" fillId="0" borderId="13" xfId="0" applyNumberFormat="1" applyFont="1" applyFill="1" applyBorder="1" applyAlignment="1">
      <alignment wrapText="1"/>
    </xf>
    <xf numFmtId="10" fontId="50" fillId="0" borderId="13" xfId="0" applyNumberFormat="1" applyFont="1" applyFill="1" applyBorder="1" applyAlignment="1">
      <alignment wrapText="1"/>
    </xf>
    <xf numFmtId="10" fontId="50" fillId="0" borderId="16" xfId="0" applyNumberFormat="1" applyFont="1" applyFill="1" applyBorder="1" applyAlignment="1">
      <alignment wrapText="1"/>
    </xf>
    <xf numFmtId="10" fontId="50" fillId="0" borderId="17" xfId="0" applyNumberFormat="1" applyFont="1" applyFill="1" applyBorder="1" applyAlignment="1">
      <alignment wrapText="1"/>
    </xf>
    <xf numFmtId="0" fontId="12" fillId="0" borderId="0" xfId="48" applyFont="1" applyBorder="1" applyProtection="1"/>
    <xf numFmtId="186" fontId="46" fillId="0" borderId="6" xfId="0" applyNumberFormat="1" applyFont="1" applyBorder="1" applyAlignment="1">
      <alignment wrapText="1"/>
    </xf>
    <xf numFmtId="186" fontId="43" fillId="0" borderId="18" xfId="0" applyNumberFormat="1" applyFont="1" applyBorder="1" applyAlignment="1">
      <alignment wrapText="1"/>
    </xf>
    <xf numFmtId="186" fontId="20" fillId="0" borderId="6" xfId="0" applyNumberFormat="1" applyFont="1" applyBorder="1" applyAlignment="1">
      <alignment wrapText="1"/>
    </xf>
    <xf numFmtId="186" fontId="43" fillId="0" borderId="8" xfId="0" applyNumberFormat="1" applyFont="1" applyBorder="1" applyAlignment="1">
      <alignment wrapText="1"/>
    </xf>
    <xf numFmtId="186" fontId="46" fillId="0" borderId="8" xfId="0" applyNumberFormat="1" applyFont="1" applyBorder="1" applyAlignment="1">
      <alignment wrapText="1"/>
    </xf>
    <xf numFmtId="186" fontId="44" fillId="0" borderId="10" xfId="0" applyNumberFormat="1" applyFont="1" applyBorder="1" applyAlignment="1">
      <alignment wrapText="1"/>
    </xf>
    <xf numFmtId="186" fontId="43" fillId="0" borderId="19" xfId="0" applyNumberFormat="1" applyFont="1" applyBorder="1" applyAlignment="1">
      <alignment wrapText="1"/>
    </xf>
    <xf numFmtId="186" fontId="20" fillId="0" borderId="8" xfId="0" applyNumberFormat="1" applyFont="1" applyBorder="1" applyAlignment="1">
      <alignment wrapText="1"/>
    </xf>
    <xf numFmtId="0" fontId="20" fillId="0" borderId="11" xfId="0" applyFont="1" applyBorder="1" applyAlignment="1">
      <alignment wrapText="1"/>
    </xf>
    <xf numFmtId="186" fontId="44" fillId="0" borderId="7" xfId="0" applyNumberFormat="1" applyFont="1" applyBorder="1" applyAlignment="1">
      <alignment wrapText="1"/>
    </xf>
    <xf numFmtId="186" fontId="44" fillId="0" borderId="8" xfId="0" applyNumberFormat="1" applyFont="1" applyBorder="1" applyAlignment="1">
      <alignment wrapText="1"/>
    </xf>
    <xf numFmtId="186" fontId="52" fillId="0" borderId="8" xfId="0" applyNumberFormat="1" applyFont="1" applyBorder="1" applyAlignment="1">
      <alignment wrapText="1"/>
    </xf>
    <xf numFmtId="186" fontId="20" fillId="0" borderId="7" xfId="0" applyNumberFormat="1" applyFont="1" applyBorder="1" applyAlignment="1">
      <alignment wrapText="1"/>
    </xf>
    <xf numFmtId="186" fontId="20" fillId="0" borderId="20" xfId="0" applyNumberFormat="1" applyFont="1" applyBorder="1" applyAlignment="1">
      <alignment wrapText="1"/>
    </xf>
    <xf numFmtId="10" fontId="53" fillId="0" borderId="6" xfId="0" applyNumberFormat="1" applyFont="1" applyFill="1" applyBorder="1" applyAlignment="1">
      <alignment wrapText="1"/>
    </xf>
    <xf numFmtId="10" fontId="45" fillId="0" borderId="18" xfId="0" applyNumberFormat="1" applyFont="1" applyFill="1" applyBorder="1" applyAlignment="1">
      <alignment wrapText="1"/>
    </xf>
    <xf numFmtId="10" fontId="46" fillId="0" borderId="6" xfId="0" applyNumberFormat="1" applyFont="1" applyFill="1" applyBorder="1" applyAlignment="1">
      <alignment wrapText="1"/>
    </xf>
    <xf numFmtId="10" fontId="44" fillId="0" borderId="6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4" fillId="0" borderId="0" xfId="0" applyNumberFormat="1" applyFont="1" applyFill="1" applyAlignment="1">
      <alignment wrapText="1"/>
    </xf>
    <xf numFmtId="10" fontId="20" fillId="0" borderId="8" xfId="0" applyNumberFormat="1" applyFont="1" applyFill="1" applyBorder="1" applyAlignment="1">
      <alignment wrapText="1"/>
    </xf>
    <xf numFmtId="10" fontId="45" fillId="0" borderId="19" xfId="0" applyNumberFormat="1" applyFont="1" applyFill="1" applyBorder="1" applyAlignment="1">
      <alignment wrapText="1"/>
    </xf>
    <xf numFmtId="10" fontId="20" fillId="0" borderId="10" xfId="0" applyNumberFormat="1" applyFont="1" applyFill="1" applyBorder="1" applyAlignment="1">
      <alignment wrapText="1"/>
    </xf>
    <xf numFmtId="10" fontId="20" fillId="0" borderId="7" xfId="0" applyNumberFormat="1" applyFont="1" applyFill="1" applyBorder="1" applyAlignment="1">
      <alignment wrapText="1"/>
    </xf>
    <xf numFmtId="10" fontId="54" fillId="0" borderId="12" xfId="0" applyNumberFormat="1" applyFont="1" applyFill="1" applyBorder="1" applyAlignment="1">
      <alignment wrapText="1"/>
    </xf>
    <xf numFmtId="10" fontId="20" fillId="0" borderId="13" xfId="0" applyNumberFormat="1" applyFont="1" applyFill="1" applyBorder="1" applyAlignment="1">
      <alignment wrapText="1"/>
    </xf>
    <xf numFmtId="10" fontId="55" fillId="0" borderId="8" xfId="0" applyNumberFormat="1" applyFont="1" applyFill="1" applyBorder="1" applyAlignment="1">
      <alignment wrapText="1"/>
    </xf>
    <xf numFmtId="10" fontId="42" fillId="0" borderId="0" xfId="0" applyNumberFormat="1" applyFont="1" applyFill="1" applyBorder="1" applyAlignment="1" applyProtection="1">
      <alignment wrapText="1"/>
    </xf>
    <xf numFmtId="10" fontId="52" fillId="0" borderId="8" xfId="0" applyNumberFormat="1" applyFont="1" applyFill="1" applyBorder="1" applyAlignment="1">
      <alignment wrapText="1"/>
    </xf>
    <xf numFmtId="10" fontId="46" fillId="0" borderId="7" xfId="0" applyNumberFormat="1" applyFont="1" applyFill="1" applyBorder="1" applyAlignment="1">
      <alignment wrapText="1"/>
    </xf>
    <xf numFmtId="10" fontId="46" fillId="0" borderId="8" xfId="0" applyNumberFormat="1" applyFont="1" applyFill="1" applyBorder="1" applyAlignment="1">
      <alignment wrapText="1"/>
    </xf>
    <xf numFmtId="10" fontId="46" fillId="0" borderId="20" xfId="0" applyNumberFormat="1" applyFont="1" applyFill="1" applyBorder="1" applyAlignment="1">
      <alignment wrapText="1"/>
    </xf>
    <xf numFmtId="10" fontId="51" fillId="0" borderId="18" xfId="0" applyNumberFormat="1" applyFont="1" applyFill="1" applyBorder="1" applyAlignment="1">
      <alignment wrapText="1"/>
    </xf>
    <xf numFmtId="10" fontId="51" fillId="0" borderId="6" xfId="0" applyNumberFormat="1" applyFont="1" applyFill="1" applyBorder="1" applyAlignment="1">
      <alignment wrapText="1"/>
    </xf>
    <xf numFmtId="10" fontId="51" fillId="0" borderId="8" xfId="0" applyNumberFormat="1" applyFont="1" applyFill="1" applyBorder="1" applyAlignment="1">
      <alignment wrapText="1"/>
    </xf>
    <xf numFmtId="10" fontId="51" fillId="0" borderId="19" xfId="0" applyNumberFormat="1" applyFont="1" applyFill="1" applyBorder="1" applyAlignment="1">
      <alignment wrapText="1"/>
    </xf>
    <xf numFmtId="10" fontId="51" fillId="0" borderId="7" xfId="0" applyNumberFormat="1" applyFont="1" applyFill="1" applyBorder="1" applyAlignment="1">
      <alignment wrapText="1"/>
    </xf>
    <xf numFmtId="10" fontId="51" fillId="0" borderId="12" xfId="0" applyNumberFormat="1" applyFont="1" applyFill="1" applyBorder="1" applyAlignment="1">
      <alignment wrapText="1"/>
    </xf>
    <xf numFmtId="10" fontId="50" fillId="0" borderId="0" xfId="0" applyNumberFormat="1" applyFont="1" applyFill="1" applyBorder="1" applyAlignment="1" applyProtection="1">
      <alignment wrapText="1"/>
    </xf>
    <xf numFmtId="10" fontId="50" fillId="0" borderId="7" xfId="0" applyNumberFormat="1" applyFont="1" applyFill="1" applyBorder="1" applyAlignment="1">
      <alignment wrapText="1"/>
    </xf>
    <xf numFmtId="10" fontId="50" fillId="0" borderId="8" xfId="0" applyNumberFormat="1" applyFont="1" applyFill="1" applyBorder="1" applyAlignment="1">
      <alignment wrapText="1"/>
    </xf>
    <xf numFmtId="10" fontId="50" fillId="0" borderId="20" xfId="0" applyNumberFormat="1" applyFont="1" applyFill="1" applyBorder="1" applyAlignment="1">
      <alignment wrapText="1"/>
    </xf>
    <xf numFmtId="186" fontId="43" fillId="0" borderId="6" xfId="0" applyNumberFormat="1" applyFont="1" applyBorder="1" applyAlignment="1">
      <alignment wrapText="1"/>
    </xf>
    <xf numFmtId="186" fontId="43" fillId="0" borderId="11" xfId="0" applyNumberFormat="1" applyFont="1" applyBorder="1" applyAlignment="1">
      <alignment wrapText="1"/>
    </xf>
    <xf numFmtId="186" fontId="44" fillId="0" borderId="11" xfId="0" applyNumberFormat="1" applyFont="1" applyBorder="1" applyAlignment="1">
      <alignment wrapText="1"/>
    </xf>
    <xf numFmtId="186" fontId="42" fillId="0" borderId="7" xfId="0" applyNumberFormat="1" applyFont="1" applyBorder="1" applyAlignment="1">
      <alignment wrapText="1"/>
    </xf>
    <xf numFmtId="186" fontId="42" fillId="0" borderId="8" xfId="0" applyNumberFormat="1" applyFont="1" applyBorder="1" applyAlignment="1">
      <alignment wrapText="1"/>
    </xf>
    <xf numFmtId="186" fontId="42" fillId="0" borderId="9" xfId="0" applyNumberFormat="1" applyFont="1" applyBorder="1" applyAlignment="1">
      <alignment wrapText="1"/>
    </xf>
    <xf numFmtId="186" fontId="42" fillId="0" borderId="10" xfId="0" applyNumberFormat="1" applyFont="1" applyBorder="1" applyAlignment="1">
      <alignment wrapText="1"/>
    </xf>
    <xf numFmtId="186" fontId="42" fillId="0" borderId="19" xfId="0" applyNumberFormat="1" applyFont="1" applyBorder="1" applyAlignment="1">
      <alignment wrapText="1"/>
    </xf>
    <xf numFmtId="10" fontId="20" fillId="0" borderId="6" xfId="0" applyNumberFormat="1" applyFont="1" applyFill="1" applyBorder="1" applyAlignment="1">
      <alignment wrapText="1"/>
    </xf>
    <xf numFmtId="10" fontId="46" fillId="0" borderId="21" xfId="0" applyNumberFormat="1" applyFont="1" applyFill="1" applyBorder="1" applyAlignment="1">
      <alignment wrapText="1"/>
    </xf>
    <xf numFmtId="10" fontId="20" fillId="0" borderId="9" xfId="0" applyNumberFormat="1" applyFont="1" applyFill="1" applyBorder="1" applyAlignment="1">
      <alignment wrapText="1"/>
    </xf>
    <xf numFmtId="10" fontId="56" fillId="0" borderId="10" xfId="0" applyNumberFormat="1" applyFont="1" applyFill="1" applyBorder="1" applyAlignment="1">
      <alignment wrapText="1"/>
    </xf>
    <xf numFmtId="10" fontId="42" fillId="0" borderId="7" xfId="0" applyNumberFormat="1" applyFont="1" applyFill="1" applyBorder="1" applyAlignment="1">
      <alignment wrapText="1"/>
    </xf>
    <xf numFmtId="10" fontId="42" fillId="0" borderId="8" xfId="0" applyNumberFormat="1" applyFont="1" applyFill="1" applyBorder="1" applyAlignment="1">
      <alignment wrapText="1"/>
    </xf>
    <xf numFmtId="10" fontId="42" fillId="0" borderId="9" xfId="0" applyNumberFormat="1" applyFont="1" applyFill="1" applyBorder="1" applyAlignment="1">
      <alignment wrapText="1"/>
    </xf>
    <xf numFmtId="10" fontId="42" fillId="0" borderId="10" xfId="0" applyNumberFormat="1" applyFont="1" applyFill="1" applyBorder="1" applyAlignment="1">
      <alignment wrapText="1"/>
    </xf>
    <xf numFmtId="10" fontId="51" fillId="0" borderId="17" xfId="0" applyNumberFormat="1" applyFont="1" applyFill="1" applyBorder="1" applyAlignment="1">
      <alignment wrapText="1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/>
    <xf numFmtId="186" fontId="20" fillId="0" borderId="24" xfId="0" applyNumberFormat="1" applyFont="1" applyBorder="1" applyAlignment="1">
      <alignment wrapText="1"/>
    </xf>
    <xf numFmtId="186" fontId="20" fillId="0" borderId="25" xfId="0" applyNumberFormat="1" applyFont="1" applyBorder="1" applyAlignment="1">
      <alignment wrapText="1"/>
    </xf>
    <xf numFmtId="186" fontId="20" fillId="0" borderId="9" xfId="0" applyNumberFormat="1" applyFont="1" applyBorder="1" applyAlignment="1">
      <alignment wrapText="1"/>
    </xf>
    <xf numFmtId="186" fontId="20" fillId="0" borderId="10" xfId="0" applyNumberFormat="1" applyFont="1" applyBorder="1" applyAlignment="1">
      <alignment wrapText="1"/>
    </xf>
    <xf numFmtId="186" fontId="20" fillId="0" borderId="26" xfId="0" applyNumberFormat="1" applyFont="1" applyBorder="1" applyAlignment="1">
      <alignment wrapText="1"/>
    </xf>
    <xf numFmtId="186" fontId="20" fillId="0" borderId="27" xfId="0" applyNumberFormat="1" applyFont="1" applyBorder="1" applyAlignment="1">
      <alignment wrapText="1"/>
    </xf>
    <xf numFmtId="186" fontId="20" fillId="0" borderId="28" xfId="0" applyNumberFormat="1" applyFont="1" applyBorder="1" applyAlignment="1">
      <alignment wrapText="1"/>
    </xf>
    <xf numFmtId="0" fontId="19" fillId="0" borderId="34" xfId="0" applyFont="1" applyBorder="1"/>
    <xf numFmtId="10" fontId="20" fillId="0" borderId="24" xfId="0" applyNumberFormat="1" applyFont="1" applyFill="1" applyBorder="1" applyAlignment="1">
      <alignment wrapText="1"/>
    </xf>
    <xf numFmtId="10" fontId="20" fillId="0" borderId="25" xfId="0" applyNumberFormat="1" applyFont="1" applyFill="1" applyBorder="1" applyAlignment="1">
      <alignment wrapText="1"/>
    </xf>
    <xf numFmtId="10" fontId="20" fillId="0" borderId="26" xfId="0" applyNumberFormat="1" applyFont="1" applyFill="1" applyBorder="1" applyAlignment="1">
      <alignment wrapText="1"/>
    </xf>
    <xf numFmtId="10" fontId="20" fillId="0" borderId="27" xfId="0" applyNumberFormat="1" applyFont="1" applyFill="1" applyBorder="1" applyAlignment="1">
      <alignment wrapText="1"/>
    </xf>
    <xf numFmtId="10" fontId="49" fillId="0" borderId="13" xfId="0" applyNumberFormat="1" applyFont="1" applyFill="1" applyBorder="1" applyAlignment="1">
      <alignment wrapText="1"/>
    </xf>
    <xf numFmtId="10" fontId="49" fillId="0" borderId="27" xfId="0" applyNumberFormat="1" applyFont="1" applyFill="1" applyBorder="1" applyAlignment="1">
      <alignment wrapText="1"/>
    </xf>
    <xf numFmtId="10" fontId="49" fillId="0" borderId="11" xfId="0" applyNumberFormat="1" applyFont="1" applyFill="1" applyBorder="1" applyAlignment="1">
      <alignment wrapText="1"/>
    </xf>
    <xf numFmtId="10" fontId="49" fillId="0" borderId="0" xfId="0" applyNumberFormat="1" applyFont="1" applyFill="1" applyAlignment="1">
      <alignment wrapText="1"/>
    </xf>
    <xf numFmtId="10" fontId="49" fillId="0" borderId="25" xfId="0" applyNumberFormat="1" applyFont="1" applyFill="1" applyBorder="1" applyAlignment="1">
      <alignment wrapText="1"/>
    </xf>
    <xf numFmtId="10" fontId="49" fillId="0" borderId="16" xfId="0" applyNumberFormat="1" applyFont="1" applyFill="1" applyBorder="1" applyAlignment="1">
      <alignment wrapText="1"/>
    </xf>
    <xf numFmtId="10" fontId="49" fillId="0" borderId="17" xfId="0" applyNumberFormat="1" applyFont="1" applyFill="1" applyBorder="1" applyAlignment="1">
      <alignment wrapText="1"/>
    </xf>
    <xf numFmtId="10" fontId="49" fillId="0" borderId="28" xfId="0" applyNumberFormat="1" applyFont="1" applyFill="1" applyBorder="1" applyAlignment="1">
      <alignment wrapText="1"/>
    </xf>
    <xf numFmtId="10" fontId="57" fillId="0" borderId="0" xfId="0" applyNumberFormat="1" applyFont="1" applyAlignment="1">
      <alignment wrapText="1"/>
    </xf>
    <xf numFmtId="10" fontId="50" fillId="0" borderId="24" xfId="0" applyNumberFormat="1" applyFont="1" applyFill="1" applyBorder="1" applyAlignment="1">
      <alignment wrapText="1"/>
    </xf>
    <xf numFmtId="10" fontId="50" fillId="0" borderId="25" xfId="0" applyNumberFormat="1" applyFont="1" applyFill="1" applyBorder="1" applyAlignment="1">
      <alignment wrapText="1"/>
    </xf>
    <xf numFmtId="10" fontId="50" fillId="0" borderId="9" xfId="0" applyNumberFormat="1" applyFont="1" applyFill="1" applyBorder="1" applyAlignment="1">
      <alignment wrapText="1"/>
    </xf>
    <xf numFmtId="10" fontId="50" fillId="0" borderId="10" xfId="0" applyNumberFormat="1" applyFont="1" applyFill="1" applyBorder="1" applyAlignment="1">
      <alignment wrapText="1"/>
    </xf>
    <xf numFmtId="10" fontId="50" fillId="0" borderId="26" xfId="0" applyNumberFormat="1" applyFont="1" applyFill="1" applyBorder="1" applyAlignment="1">
      <alignment wrapText="1"/>
    </xf>
    <xf numFmtId="10" fontId="50" fillId="0" borderId="27" xfId="0" applyNumberFormat="1" applyFont="1" applyFill="1" applyBorder="1" applyAlignment="1">
      <alignment wrapText="1"/>
    </xf>
    <xf numFmtId="10" fontId="51" fillId="0" borderId="25" xfId="0" applyNumberFormat="1" applyFont="1" applyFill="1" applyBorder="1" applyAlignment="1">
      <alignment wrapText="1"/>
    </xf>
    <xf numFmtId="10" fontId="51" fillId="0" borderId="27" xfId="0" applyNumberFormat="1" applyFont="1" applyFill="1" applyBorder="1" applyAlignment="1">
      <alignment wrapText="1"/>
    </xf>
    <xf numFmtId="10" fontId="51" fillId="0" borderId="16" xfId="0" applyNumberFormat="1" applyFont="1" applyFill="1" applyBorder="1" applyAlignment="1">
      <alignment wrapText="1"/>
    </xf>
    <xf numFmtId="10" fontId="51" fillId="0" borderId="28" xfId="0" applyNumberFormat="1" applyFont="1" applyFill="1" applyBorder="1" applyAlignment="1">
      <alignment wrapText="1"/>
    </xf>
    <xf numFmtId="0" fontId="58" fillId="0" borderId="0" xfId="0" applyFont="1" applyAlignment="1">
      <alignment wrapText="1"/>
    </xf>
    <xf numFmtId="0" fontId="19" fillId="0" borderId="0" xfId="0" applyFont="1" applyAlignment="1">
      <alignment wrapText="1"/>
    </xf>
    <xf numFmtId="1" fontId="0" fillId="0" borderId="0" xfId="0" applyNumberFormat="1"/>
    <xf numFmtId="182" fontId="0" fillId="0" borderId="0" xfId="0" applyNumberFormat="1"/>
    <xf numFmtId="177" fontId="0" fillId="0" borderId="0" xfId="0" applyNumberFormat="1"/>
    <xf numFmtId="0" fontId="59" fillId="0" borderId="0" xfId="0" applyFont="1"/>
    <xf numFmtId="179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>
                    <a:solidFill>
                      <a:srgbClr val="000000"/>
                    </a:solidFill>
                  </a:rPr>
                  <a:t>spikes/s</a:t>
                </a:r>
                <a:endParaRPr lang="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16</xdr:col>
      <xdr:colOff>43815</xdr:colOff>
      <xdr:row>22</xdr:row>
      <xdr:rowOff>144780</xdr:rowOff>
    </xdr:from>
    <xdr:to>
      <xdr:col>24</xdr:col>
      <xdr:colOff>417830</xdr:colOff>
      <xdr:row>47</xdr:row>
      <xdr:rowOff>154940</xdr:rowOff>
    </xdr:to>
    <xdr:graphicFrame>
      <xdr:nvGraphicFramePr>
        <xdr:cNvPr id="892" name="Chart 891"/>
        <xdr:cNvGraphicFramePr/>
      </xdr:nvGraphicFramePr>
      <xdr:xfrm>
        <a:off x="11847830" y="9796780"/>
        <a:ext cx="11539220" cy="4576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</xdr:colOff>
      <xdr:row>48</xdr:row>
      <xdr:rowOff>62865</xdr:rowOff>
    </xdr:from>
    <xdr:to>
      <xdr:col>17</xdr:col>
      <xdr:colOff>2745740</xdr:colOff>
      <xdr:row>65</xdr:row>
      <xdr:rowOff>76200</xdr:rowOff>
    </xdr:to>
    <xdr:graphicFrame>
      <xdr:nvGraphicFramePr>
        <xdr:cNvPr id="893" name="Chart 892"/>
        <xdr:cNvGraphicFramePr/>
      </xdr:nvGraphicFramePr>
      <xdr:xfrm>
        <a:off x="11836400" y="144506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6</xdr:col>
      <xdr:colOff>4445</xdr:colOff>
      <xdr:row>0</xdr:row>
      <xdr:rowOff>10160</xdr:rowOff>
    </xdr:from>
    <xdr:to>
      <xdr:col>10</xdr:col>
      <xdr:colOff>200660</xdr:colOff>
      <xdr:row>16</xdr:row>
      <xdr:rowOff>33020</xdr:rowOff>
    </xdr:to>
    <xdr:graphicFrame>
      <xdr:nvGraphicFramePr>
        <xdr:cNvPr id="3" name="Chart 2"/>
        <xdr:cNvGraphicFramePr/>
      </xdr:nvGraphicFramePr>
      <xdr:xfrm>
        <a:off x="3848100" y="10160"/>
        <a:ext cx="26574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73" t="s">
        <v>0</v>
      </c>
    </row>
    <row r="2" spans="1:2">
      <c r="A2" s="119" t="s">
        <v>1</v>
      </c>
      <c r="B2" s="78"/>
    </row>
    <row r="3" spans="1:11">
      <c r="A3" s="1" t="s">
        <v>2</v>
      </c>
      <c r="B3" s="173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36">
        <f>D4/C4</f>
        <v>0.266201987246033</v>
      </c>
      <c r="I4" s="336">
        <f>E4/C4</f>
        <v>0.099510603588907</v>
      </c>
      <c r="J4" s="336">
        <f>F4/C4</f>
        <v>0.129912501853774</v>
      </c>
      <c r="K4" s="338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36">
        <f>D5/C5</f>
        <v>0.43448883666275</v>
      </c>
      <c r="I5" s="336">
        <f>E5/C5</f>
        <v>0.169212690951821</v>
      </c>
      <c r="J5" s="336">
        <f>F5/C5</f>
        <v>0.0289365452408931</v>
      </c>
      <c r="K5" s="338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36">
        <f>D6/C6</f>
        <v>0.562757032406646</v>
      </c>
      <c r="I6" s="336">
        <f>E6/C6</f>
        <v>0.198716894226024</v>
      </c>
      <c r="J6" s="336">
        <f>F6/C6</f>
        <v>0.0352031584142129</v>
      </c>
      <c r="K6" s="338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36">
        <f>D7/C7</f>
        <v>0.388904533934103</v>
      </c>
      <c r="I7" s="336">
        <f>E7/C7</f>
        <v>0.239650802590819</v>
      </c>
      <c r="J7" s="336">
        <f>F7/C7</f>
        <v>0.0802590819487468</v>
      </c>
      <c r="K7" s="338">
        <f t="shared" si="0"/>
        <v>0.708814418473669</v>
      </c>
    </row>
    <row r="8" spans="1:12">
      <c r="A8" s="119" t="s">
        <v>13</v>
      </c>
      <c r="I8" s="336"/>
      <c r="J8" s="336"/>
      <c r="K8" s="336"/>
      <c r="L8" s="339"/>
    </row>
    <row r="9" spans="7:11">
      <c r="G9" s="1" t="s">
        <v>7</v>
      </c>
      <c r="H9" t="s">
        <v>4</v>
      </c>
      <c r="I9" t="s">
        <v>5</v>
      </c>
      <c r="J9" t="s">
        <v>6</v>
      </c>
      <c r="K9" s="339" t="s">
        <v>8</v>
      </c>
    </row>
    <row r="10" spans="7:11">
      <c r="G10" t="s">
        <v>9</v>
      </c>
      <c r="H10" s="336">
        <v>0.253467843631778</v>
      </c>
      <c r="I10">
        <v>0.205548549810844</v>
      </c>
      <c r="J10">
        <v>0.20173266988678</v>
      </c>
      <c r="K10" s="338">
        <f>SUM(H10:J10)</f>
        <v>0.660749063329402</v>
      </c>
    </row>
    <row r="11" spans="7:11">
      <c r="G11" t="s">
        <v>10</v>
      </c>
      <c r="H11" s="336">
        <v>0.564943253467843</v>
      </c>
      <c r="I11">
        <v>0.316519546027742</v>
      </c>
      <c r="J11">
        <v>0.0505423129276476</v>
      </c>
      <c r="K11" s="338">
        <f>SUM(H11:J11)</f>
        <v>0.932005112423233</v>
      </c>
    </row>
    <row r="12" spans="7:11">
      <c r="G12" t="s">
        <v>11</v>
      </c>
      <c r="H12" s="336">
        <v>0.467843631778058</v>
      </c>
      <c r="I12">
        <v>0.453972257250945</v>
      </c>
      <c r="J12">
        <v>0.0304882295901412</v>
      </c>
      <c r="K12" s="338">
        <f>SUM(H12:J12)</f>
        <v>0.952304118619144</v>
      </c>
    </row>
    <row r="13" spans="7:11">
      <c r="G13" t="s">
        <v>12</v>
      </c>
      <c r="H13" s="336">
        <v>0.365699873896595</v>
      </c>
      <c r="I13">
        <v>0.438839848675914</v>
      </c>
      <c r="J13">
        <v>0.030058817905773</v>
      </c>
      <c r="K13" s="338">
        <f>SUM(H13:J13)</f>
        <v>0.834598540478282</v>
      </c>
    </row>
    <row r="15" spans="1:6">
      <c r="A15" s="173" t="s">
        <v>14</v>
      </c>
      <c r="B15" s="173"/>
      <c r="D15" s="334"/>
      <c r="E15" s="334"/>
      <c r="F15" s="334"/>
    </row>
    <row r="16" spans="1:2">
      <c r="A16" s="119" t="s">
        <v>15</v>
      </c>
      <c r="B16" s="173"/>
    </row>
    <row r="17" spans="1:11">
      <c r="A17" s="1" t="s">
        <v>16</v>
      </c>
      <c r="B17" s="173"/>
      <c r="G17" s="337" t="s">
        <v>17</v>
      </c>
      <c r="H17" s="337"/>
      <c r="I17" s="337"/>
      <c r="J17" s="337"/>
      <c r="K17" s="337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37" t="s">
        <v>18</v>
      </c>
      <c r="H18" s="337" t="s">
        <v>3</v>
      </c>
      <c r="I18" s="337" t="s">
        <v>19</v>
      </c>
      <c r="J18" s="337" t="s">
        <v>5</v>
      </c>
      <c r="K18" s="337" t="s">
        <v>6</v>
      </c>
    </row>
    <row r="19" spans="1:11">
      <c r="A19" t="s">
        <v>9</v>
      </c>
      <c r="B19">
        <v>5099</v>
      </c>
      <c r="C19">
        <f>338+338</f>
        <v>676</v>
      </c>
      <c r="D19" s="334">
        <f>C19-(E19+F19)</f>
        <v>520.909980720747</v>
      </c>
      <c r="E19" s="334">
        <f>C19*I4</f>
        <v>67.2691680261011</v>
      </c>
      <c r="F19" s="334">
        <f>C19*J4</f>
        <v>87.8208512531514</v>
      </c>
      <c r="G19" s="337">
        <f>ROUND(B19/8,0)*8</f>
        <v>5096</v>
      </c>
      <c r="H19" s="337">
        <f>ROUND(C19/8,0)*8</f>
        <v>680</v>
      </c>
      <c r="I19" s="337">
        <f>ROUND(D19/8,0)*8</f>
        <v>520</v>
      </c>
      <c r="J19" s="337">
        <f>ROUND(E19/8,0)*8</f>
        <v>64</v>
      </c>
      <c r="K19" s="337">
        <f>ROUND(F19/8,0)*8</f>
        <v>88</v>
      </c>
    </row>
    <row r="20" spans="1:11">
      <c r="A20" t="s">
        <v>10</v>
      </c>
      <c r="B20">
        <v>4089</v>
      </c>
      <c r="C20">
        <v>358</v>
      </c>
      <c r="D20" s="334">
        <f>C20-(E20+F20)</f>
        <v>287.062573443008</v>
      </c>
      <c r="E20" s="334">
        <f>C20*I5</f>
        <v>60.5781433607521</v>
      </c>
      <c r="F20" s="334">
        <f>C20*J5</f>
        <v>10.3592831962397</v>
      </c>
      <c r="G20" s="337">
        <f t="shared" ref="G20:G28" si="1">ROUND(B20/8,0)*8</f>
        <v>4088</v>
      </c>
      <c r="H20" s="337">
        <f t="shared" ref="H20:H28" si="2">ROUND(C20/8,0)*8</f>
        <v>360</v>
      </c>
      <c r="I20" s="337">
        <f t="shared" ref="I20:I28" si="3">ROUND(D20/8,0)*8</f>
        <v>288</v>
      </c>
      <c r="J20" s="337">
        <f t="shared" ref="J20:J28" si="4">ROUND(E20/8,0)*8</f>
        <v>64</v>
      </c>
      <c r="K20" s="337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34">
        <f>C21-(E21+F21)</f>
        <v>540.086362888633</v>
      </c>
      <c r="E21" s="334">
        <f>C21*I6</f>
        <v>140.095410429347</v>
      </c>
      <c r="F21" s="334">
        <f>C21*J6</f>
        <v>24.8182266820201</v>
      </c>
      <c r="G21" s="337">
        <f t="shared" si="1"/>
        <v>3264</v>
      </c>
      <c r="H21" s="337">
        <f t="shared" si="2"/>
        <v>704</v>
      </c>
      <c r="I21" s="337">
        <f t="shared" si="3"/>
        <v>544</v>
      </c>
      <c r="J21" s="337">
        <f t="shared" si="4"/>
        <v>144</v>
      </c>
      <c r="K21" s="337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34">
        <f>C22-(E22+F22)</f>
        <v>290.398479301605</v>
      </c>
      <c r="E22" s="334">
        <f>C22*I7</f>
        <v>102.33089270628</v>
      </c>
      <c r="F22" s="334">
        <f>C22*J7</f>
        <v>34.2706279921149</v>
      </c>
      <c r="G22" s="337">
        <f t="shared" si="1"/>
        <v>4424</v>
      </c>
      <c r="H22" s="337">
        <f t="shared" si="2"/>
        <v>424</v>
      </c>
      <c r="I22" s="337">
        <f t="shared" si="3"/>
        <v>288</v>
      </c>
      <c r="J22" s="337">
        <f t="shared" si="4"/>
        <v>104</v>
      </c>
      <c r="K22" s="337">
        <f t="shared" si="5"/>
        <v>32</v>
      </c>
    </row>
    <row r="23" spans="1:11">
      <c r="A23" t="s">
        <v>20</v>
      </c>
      <c r="D23" s="334"/>
      <c r="E23" s="334"/>
      <c r="F23" s="334"/>
      <c r="G23" s="337"/>
      <c r="H23" s="337"/>
      <c r="I23" s="337"/>
      <c r="J23" s="337"/>
      <c r="K23" s="337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37" t="s">
        <v>18</v>
      </c>
      <c r="H24" s="337" t="s">
        <v>3</v>
      </c>
      <c r="I24" s="337" t="s">
        <v>19</v>
      </c>
      <c r="J24" s="337" t="s">
        <v>5</v>
      </c>
      <c r="K24" s="337" t="s">
        <v>6</v>
      </c>
    </row>
    <row r="25" spans="1:11">
      <c r="A25" t="s">
        <v>9</v>
      </c>
      <c r="B25">
        <v>5099</v>
      </c>
      <c r="C25">
        <f>338+338</f>
        <v>676</v>
      </c>
      <c r="D25" s="334">
        <f t="shared" ref="D25:D28" si="6">C25-(E25+F25)</f>
        <v>400.677895484406</v>
      </c>
      <c r="E25" s="334">
        <f>C25*I10</f>
        <v>138.950819672131</v>
      </c>
      <c r="F25" s="334">
        <f>C25*J10</f>
        <v>136.371284843463</v>
      </c>
      <c r="G25" s="337">
        <f t="shared" si="1"/>
        <v>5096</v>
      </c>
      <c r="H25" s="337">
        <f t="shared" si="2"/>
        <v>680</v>
      </c>
      <c r="I25" s="337">
        <f t="shared" si="3"/>
        <v>400</v>
      </c>
      <c r="J25" s="337">
        <f t="shared" si="4"/>
        <v>136</v>
      </c>
      <c r="K25" s="337">
        <f t="shared" si="5"/>
        <v>136</v>
      </c>
    </row>
    <row r="26" spans="1:11">
      <c r="A26" t="s">
        <v>10</v>
      </c>
      <c r="B26">
        <v>4089</v>
      </c>
      <c r="C26">
        <v>358</v>
      </c>
      <c r="D26" s="334">
        <f t="shared" si="6"/>
        <v>226.591854493971</v>
      </c>
      <c r="E26" s="334">
        <f>C26*I11</f>
        <v>113.313997477932</v>
      </c>
      <c r="F26" s="334">
        <f>C26*J11</f>
        <v>18.0941480280978</v>
      </c>
      <c r="G26" s="337">
        <f t="shared" si="1"/>
        <v>4088</v>
      </c>
      <c r="H26" s="337">
        <f t="shared" si="2"/>
        <v>360</v>
      </c>
      <c r="I26" s="337">
        <f t="shared" si="3"/>
        <v>224</v>
      </c>
      <c r="J26" s="337">
        <f t="shared" si="4"/>
        <v>112</v>
      </c>
      <c r="K26" s="337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34">
        <f t="shared" si="6"/>
        <v>363.455356777034</v>
      </c>
      <c r="E27" s="334">
        <f>C27*I12</f>
        <v>320.050441361916</v>
      </c>
      <c r="F27" s="334">
        <f>C27*J12</f>
        <v>21.4942018610495</v>
      </c>
      <c r="G27" s="337">
        <f t="shared" si="1"/>
        <v>3264</v>
      </c>
      <c r="H27" s="337">
        <f t="shared" si="2"/>
        <v>704</v>
      </c>
      <c r="I27" s="337">
        <f t="shared" si="3"/>
        <v>360</v>
      </c>
      <c r="J27" s="337">
        <f t="shared" si="4"/>
        <v>320</v>
      </c>
      <c r="K27" s="337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34">
        <f t="shared" si="6"/>
        <v>226.78026936962</v>
      </c>
      <c r="E28" s="334">
        <f>C28*I13</f>
        <v>187.384615384615</v>
      </c>
      <c r="F28" s="334">
        <f>C28*J13</f>
        <v>12.8351152457651</v>
      </c>
      <c r="G28" s="337">
        <f t="shared" si="1"/>
        <v>4424</v>
      </c>
      <c r="H28" s="337">
        <f t="shared" si="2"/>
        <v>424</v>
      </c>
      <c r="I28" s="337">
        <f t="shared" si="3"/>
        <v>224</v>
      </c>
      <c r="J28" s="337">
        <f t="shared" si="4"/>
        <v>184</v>
      </c>
      <c r="K28" s="337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34"/>
      <c r="E29" s="334"/>
      <c r="F29" s="334"/>
      <c r="G29" s="337"/>
      <c r="H29" s="337"/>
      <c r="I29" s="337"/>
      <c r="J29" s="337"/>
      <c r="K29" s="337"/>
    </row>
    <row r="30" spans="1:11">
      <c r="A30" t="s">
        <v>21</v>
      </c>
      <c r="B30">
        <f>B29/C29</f>
        <v>7.79316712834718</v>
      </c>
      <c r="D30" s="334"/>
      <c r="E30" s="334"/>
      <c r="F30" s="334"/>
      <c r="G30" s="337"/>
      <c r="H30" s="337"/>
      <c r="I30" s="337"/>
      <c r="J30" s="337"/>
      <c r="K30" s="337"/>
    </row>
    <row r="31" spans="1:2">
      <c r="A31" s="119"/>
      <c r="B31" s="119"/>
    </row>
    <row r="32" spans="1:2">
      <c r="A32" s="119"/>
      <c r="B32" s="119"/>
    </row>
    <row r="34" spans="1:2">
      <c r="A34" s="173" t="s">
        <v>22</v>
      </c>
      <c r="B34" s="173"/>
    </row>
    <row r="35" spans="1:2">
      <c r="A35" s="119" t="s">
        <v>23</v>
      </c>
      <c r="B35" s="173"/>
    </row>
    <row r="36" spans="1:7">
      <c r="A36" s="1" t="s">
        <v>24</v>
      </c>
      <c r="B36" s="173"/>
      <c r="G36" s="337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37" t="s">
        <v>18</v>
      </c>
      <c r="H37" s="337" t="s">
        <v>3</v>
      </c>
      <c r="I37" s="337" t="s">
        <v>19</v>
      </c>
      <c r="J37" s="337" t="s">
        <v>5</v>
      </c>
      <c r="K37" s="337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35">
        <f>C38-E38-F38</f>
        <v>136.325319469546</v>
      </c>
      <c r="E38" s="335">
        <f>C38*I10</f>
        <v>47.2761664564941</v>
      </c>
      <c r="F38" s="335">
        <f>C38*J10</f>
        <v>46.3985140739594</v>
      </c>
      <c r="G38" s="337">
        <f t="shared" ref="G38:G41" si="7">ROUND(B38/8,0)*8</f>
        <v>1688</v>
      </c>
      <c r="H38" s="337">
        <f t="shared" ref="H38:H41" si="8">ROUND(C38/8,0)*8</f>
        <v>232</v>
      </c>
      <c r="I38" s="337">
        <f t="shared" ref="I38:K38" si="9">ROUND(D38/8,0)*8</f>
        <v>136</v>
      </c>
      <c r="J38" s="337">
        <f t="shared" si="9"/>
        <v>48</v>
      </c>
      <c r="K38" s="337">
        <f t="shared" si="9"/>
        <v>48</v>
      </c>
    </row>
    <row r="39" spans="1:11">
      <c r="A39" t="s">
        <v>10</v>
      </c>
      <c r="B39">
        <v>1656</v>
      </c>
      <c r="C39">
        <v>140</v>
      </c>
      <c r="D39" s="335">
        <f>C39-E39-F39</f>
        <v>88.6113397462454</v>
      </c>
      <c r="E39" s="335">
        <f>C39*I11</f>
        <v>44.3127364438839</v>
      </c>
      <c r="F39" s="335">
        <f>C39*J11</f>
        <v>7.07592380987066</v>
      </c>
      <c r="G39" s="337">
        <f t="shared" si="7"/>
        <v>1656</v>
      </c>
      <c r="H39" s="337">
        <f t="shared" si="8"/>
        <v>144</v>
      </c>
      <c r="I39" s="337">
        <f t="shared" ref="I39:K39" si="10">ROUND(D39/8,0)*8</f>
        <v>88</v>
      </c>
      <c r="J39" s="337">
        <f t="shared" si="10"/>
        <v>48</v>
      </c>
      <c r="K39" s="337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35">
        <f>C40-E40-F40</f>
        <v>113.93423240812</v>
      </c>
      <c r="E40" s="335">
        <f>C40*I12</f>
        <v>100.327868852459</v>
      </c>
      <c r="F40" s="335">
        <f>C40*J12</f>
        <v>6.7378987394212</v>
      </c>
      <c r="G40" s="337">
        <f t="shared" si="7"/>
        <v>1096</v>
      </c>
      <c r="H40" s="337">
        <f t="shared" si="8"/>
        <v>224</v>
      </c>
      <c r="I40" s="337">
        <f t="shared" ref="I40:K40" si="11">ROUND(D40/8,0)*8</f>
        <v>112</v>
      </c>
      <c r="J40" s="337">
        <f t="shared" si="11"/>
        <v>104</v>
      </c>
      <c r="K40" s="337">
        <f t="shared" si="11"/>
        <v>8</v>
      </c>
    </row>
    <row r="41" spans="1:11">
      <c r="A41" t="s">
        <v>12</v>
      </c>
      <c r="B41">
        <v>1288</v>
      </c>
      <c r="C41">
        <v>127</v>
      </c>
      <c r="D41" s="335">
        <f>C41-E41-F41</f>
        <v>67.4498693441258</v>
      </c>
      <c r="E41" s="335">
        <f>C41*I13</f>
        <v>55.7326607818411</v>
      </c>
      <c r="F41" s="335">
        <f>C41*J13</f>
        <v>3.81746987403317</v>
      </c>
      <c r="G41" s="337">
        <f t="shared" si="7"/>
        <v>1288</v>
      </c>
      <c r="H41" s="337">
        <f t="shared" si="8"/>
        <v>128</v>
      </c>
      <c r="I41" s="337">
        <f t="shared" ref="I41:K41" si="12">ROUND(D41/8,0)*8</f>
        <v>64</v>
      </c>
      <c r="J41" s="337">
        <f t="shared" si="12"/>
        <v>56</v>
      </c>
      <c r="K41" s="337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37"/>
      <c r="J42" s="337"/>
      <c r="K42" s="337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4"/>
  <sheetViews>
    <sheetView topLeftCell="A53" workbookViewId="0">
      <selection activeCell="H48" sqref="H48"/>
    </sheetView>
  </sheetViews>
  <sheetFormatPr defaultColWidth="8.88888888888889" defaultRowHeight="12.6"/>
  <sheetData>
    <row r="1" spans="1:18">
      <c r="A1" s="2" t="s">
        <v>440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35" spans="1:19">
      <c r="A2" s="5" t="s">
        <v>441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442</v>
      </c>
    </row>
    <row r="3" ht="34" customHeight="1" spans="1:20">
      <c r="A3" s="7" t="s">
        <v>25</v>
      </c>
      <c r="B3" s="4" t="s">
        <v>18</v>
      </c>
      <c r="C3" s="8" t="s">
        <v>443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1.15" spans="1:18">
      <c r="A4" s="7"/>
      <c r="B4" s="10" t="s">
        <v>4</v>
      </c>
      <c r="C4" s="11" t="s">
        <v>444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1.15" spans="1:18">
      <c r="A5" s="7"/>
      <c r="B5" s="10" t="s">
        <v>5</v>
      </c>
      <c r="C5" s="13" t="s">
        <v>445</v>
      </c>
      <c r="D5" s="14" t="s">
        <v>446</v>
      </c>
      <c r="E5" s="41" t="s">
        <v>447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448</v>
      </c>
      <c r="H7" s="46" t="s">
        <v>449</v>
      </c>
      <c r="I7" s="57" t="s">
        <v>450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451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452</v>
      </c>
      <c r="H8" s="14" t="s">
        <v>453</v>
      </c>
      <c r="I8" s="57" t="s">
        <v>454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455</v>
      </c>
      <c r="H9" s="14" t="s">
        <v>456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5.2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457</v>
      </c>
      <c r="M12" s="12"/>
      <c r="N12" s="64"/>
      <c r="O12" s="20"/>
      <c r="P12" s="19"/>
      <c r="Q12" s="19"/>
      <c r="R12" s="70"/>
    </row>
    <row r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3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3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3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3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spans="1:17">
      <c r="A19" s="27"/>
      <c r="B19" s="28" t="s">
        <v>458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>
      <c r="A21" s="28" t="s">
        <v>50</v>
      </c>
      <c r="B21" s="28">
        <v>-50</v>
      </c>
      <c r="C21" s="28" t="s">
        <v>459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>
      <c r="A22" s="28" t="s">
        <v>57</v>
      </c>
      <c r="B22" s="28">
        <v>-60</v>
      </c>
      <c r="C22" s="28" t="s">
        <v>460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>
      <c r="A23" s="28" t="s">
        <v>60</v>
      </c>
      <c r="B23" s="28">
        <v>0</v>
      </c>
      <c r="C23" s="28" t="s">
        <v>461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371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462</v>
      </c>
      <c r="C25" s="29" t="s">
        <v>463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>
      <c r="A28" s="28" t="s">
        <v>464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>
      <c r="A29" s="31"/>
      <c r="B29" s="31" t="s">
        <v>69</v>
      </c>
      <c r="C29" s="31" t="s">
        <v>465</v>
      </c>
      <c r="D29" s="31" t="s">
        <v>466</v>
      </c>
      <c r="E29" s="31" t="s">
        <v>467</v>
      </c>
      <c r="F29" s="32" t="s">
        <v>119</v>
      </c>
      <c r="G29" s="31" t="s">
        <v>465</v>
      </c>
      <c r="H29" s="31" t="s">
        <v>466</v>
      </c>
      <c r="I29" s="31" t="s">
        <v>467</v>
      </c>
      <c r="J29" s="32" t="s">
        <v>119</v>
      </c>
      <c r="K29" s="31" t="s">
        <v>465</v>
      </c>
      <c r="L29" s="31" t="s">
        <v>466</v>
      </c>
      <c r="M29" s="31" t="s">
        <v>467</v>
      </c>
      <c r="N29" s="32" t="s">
        <v>119</v>
      </c>
      <c r="O29" s="31" t="s">
        <v>465</v>
      </c>
      <c r="P29" s="31" t="s">
        <v>466</v>
      </c>
      <c r="Q29" s="31" t="s">
        <v>467</v>
      </c>
      <c r="R29" s="28"/>
    </row>
    <row r="30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spans="1:17">
      <c r="A31" s="31" t="s">
        <v>465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spans="1:17">
      <c r="A32" s="31" t="s">
        <v>466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spans="1:17">
      <c r="A33" s="31" t="s">
        <v>467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spans="1:17">
      <c r="A35" s="31" t="s">
        <v>465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spans="1:17">
      <c r="A36" s="31" t="s">
        <v>466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spans="1:17">
      <c r="A37" s="31" t="s">
        <v>467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spans="1:17">
      <c r="A39" s="31" t="s">
        <v>465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spans="1:17">
      <c r="A40" s="31" t="s">
        <v>466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spans="1:17">
      <c r="A41" s="31" t="s">
        <v>467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spans="1:17">
      <c r="A43" s="31" t="s">
        <v>465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spans="1:17">
      <c r="A44" s="31" t="s">
        <v>466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spans="1:17">
      <c r="A45" s="31" t="s">
        <v>467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spans="1:17">
      <c r="A50" s="31" t="s">
        <v>465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spans="1:17">
      <c r="A51" s="31" t="s">
        <v>466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spans="1:17">
      <c r="A52" s="31" t="s">
        <v>467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spans="1:17">
      <c r="A54" s="31" t="s">
        <v>465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spans="1:17">
      <c r="A55" s="31" t="s">
        <v>466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spans="1:17">
      <c r="A56" s="31" t="s">
        <v>467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spans="1:17">
      <c r="A58" s="31" t="s">
        <v>465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spans="1:17">
      <c r="A59" s="31" t="s">
        <v>466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spans="1:17">
      <c r="A60" s="31" t="s">
        <v>467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spans="1:17">
      <c r="A62" s="31" t="s">
        <v>465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spans="1:17">
      <c r="A63" s="31" t="s">
        <v>466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spans="1:17">
      <c r="A64" s="31" t="s">
        <v>467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</sheetData>
  <mergeCells count="8">
    <mergeCell ref="C1:F1"/>
    <mergeCell ref="G1:J1"/>
    <mergeCell ref="K1:N1"/>
    <mergeCell ref="O1:R1"/>
    <mergeCell ref="A3:A6"/>
    <mergeCell ref="A7:A10"/>
    <mergeCell ref="A11:A14"/>
    <mergeCell ref="A15:A18"/>
  </mergeCell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55"/>
  <sheetViews>
    <sheetView workbookViewId="0">
      <pane xSplit="1" ySplit="2" topLeftCell="B31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2.6"/>
  <cols>
    <col min="1" max="1" width="12.4166666666667" style="173" customWidth="1"/>
    <col min="2" max="2" width="15.7962962962963" style="173" customWidth="1"/>
    <col min="3" max="3" width="11.6018518518519" style="173" customWidth="1"/>
    <col min="4" max="4" width="11.2962962962963" style="173" customWidth="1"/>
    <col min="5" max="5" width="11.7037037037037" style="173" customWidth="1"/>
    <col min="6" max="6" width="10.7962962962963" style="173" customWidth="1"/>
    <col min="7" max="7" width="10.2037037037037" style="173" customWidth="1"/>
    <col min="8" max="8" width="10.8981481481481" style="173" customWidth="1"/>
    <col min="9" max="9" width="9.2962962962963" style="173" customWidth="1"/>
    <col min="10" max="10" width="9.60185185185185" style="173" customWidth="1"/>
    <col min="11" max="11" width="9.7037037037037" style="173" customWidth="1"/>
    <col min="12" max="12" width="10.1018518518519" style="173" customWidth="1"/>
    <col min="13" max="13" width="11.1018518518519" style="173" customWidth="1"/>
    <col min="14" max="14" width="10" style="173" customWidth="1"/>
    <col min="15" max="15" width="9.10185185185185" style="173" customWidth="1"/>
    <col min="16" max="16" width="8.5" style="173" customWidth="1"/>
    <col min="17" max="17" width="27.1018518518519" style="173" customWidth="1"/>
    <col min="18" max="18" width="84.7037037037037" style="173" customWidth="1"/>
    <col min="19" max="987" width="8.5" style="173" customWidth="1"/>
    <col min="988" max="1020" width="8.5" customWidth="1"/>
    <col min="1021" max="1022" width="10.8981481481481" customWidth="1"/>
  </cols>
  <sheetData>
    <row r="1" spans="1:15">
      <c r="A1" s="174"/>
      <c r="B1" s="175"/>
      <c r="C1" s="176" t="s">
        <v>25</v>
      </c>
      <c r="D1" s="176"/>
      <c r="E1" s="176"/>
      <c r="F1" s="176"/>
      <c r="G1" s="176" t="s">
        <v>10</v>
      </c>
      <c r="H1" s="176"/>
      <c r="I1" s="176"/>
      <c r="J1" s="176" t="s">
        <v>11</v>
      </c>
      <c r="K1" s="176"/>
      <c r="L1" s="176"/>
      <c r="M1" s="299" t="s">
        <v>12</v>
      </c>
      <c r="N1" s="299"/>
      <c r="O1" s="299"/>
    </row>
    <row r="2" ht="13.35" spans="1:988">
      <c r="A2" s="177"/>
      <c r="B2" s="178"/>
      <c r="C2" s="178" t="s">
        <v>18</v>
      </c>
      <c r="D2" s="178" t="s">
        <v>4</v>
      </c>
      <c r="E2" s="178" t="s">
        <v>5</v>
      </c>
      <c r="F2" s="178" t="s">
        <v>6</v>
      </c>
      <c r="G2" s="178" t="s">
        <v>18</v>
      </c>
      <c r="H2" s="178" t="s">
        <v>4</v>
      </c>
      <c r="I2" s="178" t="s">
        <v>5</v>
      </c>
      <c r="J2" s="178" t="s">
        <v>18</v>
      </c>
      <c r="K2" s="178" t="s">
        <v>4</v>
      </c>
      <c r="L2" s="178" t="s">
        <v>5</v>
      </c>
      <c r="M2" s="178" t="s">
        <v>18</v>
      </c>
      <c r="N2" s="178" t="s">
        <v>4</v>
      </c>
      <c r="O2" s="300" t="s">
        <v>5</v>
      </c>
      <c r="Q2" s="173" t="s">
        <v>28</v>
      </c>
      <c r="R2" s="173" t="s">
        <v>29</v>
      </c>
      <c r="S2" s="173" t="s">
        <v>30</v>
      </c>
      <c r="AKZ2" s="173"/>
    </row>
    <row r="3" ht="63" spans="1:988">
      <c r="A3" s="179" t="s">
        <v>25</v>
      </c>
      <c r="B3" s="176" t="s">
        <v>18</v>
      </c>
      <c r="C3" s="180" t="s">
        <v>31</v>
      </c>
      <c r="D3" s="181" t="s">
        <v>32</v>
      </c>
      <c r="E3" s="240" t="s">
        <v>33</v>
      </c>
      <c r="F3" s="241"/>
      <c r="G3" s="242" t="s">
        <v>34</v>
      </c>
      <c r="H3" s="181" t="s">
        <v>35</v>
      </c>
      <c r="I3" s="242"/>
      <c r="J3" s="180" t="s">
        <v>36</v>
      </c>
      <c r="K3" s="282" t="s">
        <v>37</v>
      </c>
      <c r="L3" s="282" t="s">
        <v>38</v>
      </c>
      <c r="M3" s="180" t="s">
        <v>39</v>
      </c>
      <c r="N3" s="242"/>
      <c r="O3" s="301"/>
      <c r="Q3" s="173" t="s">
        <v>40</v>
      </c>
      <c r="R3" s="332" t="s">
        <v>41</v>
      </c>
      <c r="S3" s="173" t="s">
        <v>42</v>
      </c>
      <c r="AKZ3" s="173"/>
    </row>
    <row r="4" ht="25.2" spans="1:988">
      <c r="A4" s="182"/>
      <c r="B4" s="183" t="s">
        <v>4</v>
      </c>
      <c r="C4" s="184" t="s">
        <v>43</v>
      </c>
      <c r="D4" s="185" t="s">
        <v>44</v>
      </c>
      <c r="E4" s="190" t="s">
        <v>45</v>
      </c>
      <c r="F4" s="243"/>
      <c r="G4" s="193" t="s">
        <v>46</v>
      </c>
      <c r="H4" s="190"/>
      <c r="I4" s="190"/>
      <c r="J4" s="283" t="s">
        <v>47</v>
      </c>
      <c r="K4" s="185" t="s">
        <v>48</v>
      </c>
      <c r="L4" s="185" t="s">
        <v>49</v>
      </c>
      <c r="M4" s="184"/>
      <c r="N4" s="190"/>
      <c r="O4" s="302"/>
      <c r="Q4" s="173" t="s">
        <v>50</v>
      </c>
      <c r="R4" s="332" t="s">
        <v>51</v>
      </c>
      <c r="S4" s="173" t="s">
        <v>52</v>
      </c>
      <c r="AKZ4" s="173"/>
    </row>
    <row r="5" ht="37.8" spans="1:988">
      <c r="A5" s="182"/>
      <c r="B5" s="183" t="s">
        <v>5</v>
      </c>
      <c r="C5" s="184" t="s">
        <v>53</v>
      </c>
      <c r="D5" s="185" t="s">
        <v>54</v>
      </c>
      <c r="E5" s="185"/>
      <c r="F5" s="244" t="s">
        <v>55</v>
      </c>
      <c r="G5" s="190"/>
      <c r="H5" s="190"/>
      <c r="I5" s="190"/>
      <c r="J5" s="283"/>
      <c r="K5" s="185" t="s">
        <v>56</v>
      </c>
      <c r="L5" s="185"/>
      <c r="M5" s="184"/>
      <c r="N5" s="190"/>
      <c r="O5" s="302"/>
      <c r="Q5" s="173" t="s">
        <v>57</v>
      </c>
      <c r="R5" s="333" t="s">
        <v>58</v>
      </c>
      <c r="S5" s="173" t="s">
        <v>59</v>
      </c>
      <c r="AKZ5" s="173"/>
    </row>
    <row r="6" ht="37.8" spans="1:988">
      <c r="A6" s="182"/>
      <c r="B6" s="183" t="s">
        <v>6</v>
      </c>
      <c r="C6" s="186"/>
      <c r="D6" s="187"/>
      <c r="E6" s="245"/>
      <c r="F6" s="246"/>
      <c r="G6" s="190"/>
      <c r="H6" s="190"/>
      <c r="I6" s="190"/>
      <c r="J6" s="284"/>
      <c r="K6" s="188"/>
      <c r="L6" s="188"/>
      <c r="M6" s="303"/>
      <c r="N6" s="304"/>
      <c r="O6" s="305"/>
      <c r="Q6" s="173" t="s">
        <v>60</v>
      </c>
      <c r="R6" s="333" t="s">
        <v>61</v>
      </c>
      <c r="S6" s="173" t="s">
        <v>62</v>
      </c>
      <c r="AKZ6" s="173"/>
    </row>
    <row r="7" ht="75.6" spans="1:988">
      <c r="A7" s="182" t="s">
        <v>10</v>
      </c>
      <c r="B7" s="183" t="s">
        <v>18</v>
      </c>
      <c r="C7" s="184" t="s">
        <v>63</v>
      </c>
      <c r="D7" s="188"/>
      <c r="E7" s="190"/>
      <c r="F7" s="247"/>
      <c r="G7" s="191" t="s">
        <v>64</v>
      </c>
      <c r="H7" s="195" t="s">
        <v>65</v>
      </c>
      <c r="I7" s="195" t="s">
        <v>66</v>
      </c>
      <c r="J7" s="191" t="s">
        <v>67</v>
      </c>
      <c r="K7" s="195"/>
      <c r="L7" s="195"/>
      <c r="M7" s="191" t="s">
        <v>68</v>
      </c>
      <c r="N7" s="195"/>
      <c r="O7" s="306"/>
      <c r="Q7" s="173" t="s">
        <v>69</v>
      </c>
      <c r="R7" s="173" t="s">
        <v>70</v>
      </c>
      <c r="S7" s="173" t="s">
        <v>71</v>
      </c>
      <c r="AKZ7" s="173"/>
    </row>
    <row r="8" ht="88.2" spans="1:988">
      <c r="A8" s="182"/>
      <c r="B8" s="183" t="s">
        <v>4</v>
      </c>
      <c r="C8" s="189" t="s">
        <v>72</v>
      </c>
      <c r="D8" s="190"/>
      <c r="E8" s="190"/>
      <c r="F8" s="247"/>
      <c r="G8" s="184" t="s">
        <v>73</v>
      </c>
      <c r="H8" s="190" t="s">
        <v>74</v>
      </c>
      <c r="I8" s="190" t="s">
        <v>75</v>
      </c>
      <c r="J8" s="184"/>
      <c r="K8" s="190"/>
      <c r="L8" s="190"/>
      <c r="M8" s="184"/>
      <c r="N8" s="190"/>
      <c r="O8" s="302"/>
      <c r="Q8" s="173" t="s">
        <v>76</v>
      </c>
      <c r="R8" s="332" t="s">
        <v>77</v>
      </c>
      <c r="AKZ8" s="173"/>
    </row>
    <row r="9" ht="50.4" spans="1:988">
      <c r="A9" s="182"/>
      <c r="B9" s="183" t="s">
        <v>5</v>
      </c>
      <c r="C9" s="184"/>
      <c r="D9" s="190"/>
      <c r="E9" s="190"/>
      <c r="F9" s="247"/>
      <c r="G9" s="248" t="s">
        <v>78</v>
      </c>
      <c r="H9" s="190" t="s">
        <v>79</v>
      </c>
      <c r="I9" s="190" t="s">
        <v>80</v>
      </c>
      <c r="J9" s="184"/>
      <c r="K9" s="190"/>
      <c r="L9" s="190"/>
      <c r="M9" s="184"/>
      <c r="N9" s="190"/>
      <c r="O9" s="302"/>
      <c r="Q9" s="173" t="s">
        <v>81</v>
      </c>
      <c r="R9" s="333" t="s">
        <v>82</v>
      </c>
      <c r="S9" s="173" t="s">
        <v>83</v>
      </c>
      <c r="AKZ9" s="173"/>
    </row>
    <row r="10" ht="63" spans="1:988">
      <c r="A10" s="182" t="s">
        <v>11</v>
      </c>
      <c r="B10" s="183" t="s">
        <v>18</v>
      </c>
      <c r="C10" s="191" t="s">
        <v>84</v>
      </c>
      <c r="D10" s="192" t="s">
        <v>85</v>
      </c>
      <c r="E10" s="192" t="s">
        <v>86</v>
      </c>
      <c r="F10" s="249"/>
      <c r="G10" s="191" t="s">
        <v>87</v>
      </c>
      <c r="H10" s="195"/>
      <c r="I10" s="195"/>
      <c r="J10" s="191" t="s">
        <v>88</v>
      </c>
      <c r="K10" s="192" t="s">
        <v>89</v>
      </c>
      <c r="L10" s="285" t="s">
        <v>90</v>
      </c>
      <c r="M10" s="191" t="s">
        <v>91</v>
      </c>
      <c r="N10" s="195"/>
      <c r="O10" s="306"/>
      <c r="Q10" s="173" t="s">
        <v>92</v>
      </c>
      <c r="R10" s="332" t="s">
        <v>93</v>
      </c>
      <c r="S10" s="173" t="s">
        <v>94</v>
      </c>
      <c r="AKZ10" s="173"/>
    </row>
    <row r="11" ht="25.2" spans="1:988">
      <c r="A11" s="182"/>
      <c r="B11" s="183" t="s">
        <v>4</v>
      </c>
      <c r="C11" s="189" t="s">
        <v>95</v>
      </c>
      <c r="D11" s="193" t="s">
        <v>96</v>
      </c>
      <c r="E11" s="193" t="s">
        <v>97</v>
      </c>
      <c r="F11" s="250"/>
      <c r="G11" s="184"/>
      <c r="H11" s="190"/>
      <c r="I11" s="190"/>
      <c r="J11" s="189" t="s">
        <v>98</v>
      </c>
      <c r="K11" s="193" t="s">
        <v>99</v>
      </c>
      <c r="L11" s="286" t="s">
        <v>100</v>
      </c>
      <c r="M11" s="184"/>
      <c r="N11" s="190"/>
      <c r="O11" s="302"/>
      <c r="Q11" s="173" t="s">
        <v>101</v>
      </c>
      <c r="R11" s="333" t="s">
        <v>102</v>
      </c>
      <c r="S11" s="173" t="s">
        <v>62</v>
      </c>
      <c r="AKZ11" s="173"/>
    </row>
    <row r="12" ht="25.2" spans="1:988">
      <c r="A12" s="182"/>
      <c r="B12" s="183" t="s">
        <v>5</v>
      </c>
      <c r="C12" s="189" t="s">
        <v>103</v>
      </c>
      <c r="D12" s="193" t="s">
        <v>104</v>
      </c>
      <c r="E12" s="193"/>
      <c r="F12" s="251"/>
      <c r="G12" s="184"/>
      <c r="H12" s="190"/>
      <c r="I12" s="190"/>
      <c r="J12" s="287" t="s">
        <v>105</v>
      </c>
      <c r="K12" s="288" t="s">
        <v>106</v>
      </c>
      <c r="L12" s="289"/>
      <c r="M12" s="184"/>
      <c r="N12" s="190"/>
      <c r="O12" s="302"/>
      <c r="Q12" s="173" t="s">
        <v>107</v>
      </c>
      <c r="R12" s="333" t="s">
        <v>108</v>
      </c>
      <c r="AKZ12" s="173"/>
    </row>
    <row r="13" ht="51.15" spans="1:988">
      <c r="A13" s="194" t="s">
        <v>12</v>
      </c>
      <c r="B13" s="183" t="s">
        <v>18</v>
      </c>
      <c r="C13" s="191" t="s">
        <v>109</v>
      </c>
      <c r="D13" s="195"/>
      <c r="E13" s="195"/>
      <c r="F13" s="252"/>
      <c r="G13" s="191" t="s">
        <v>110</v>
      </c>
      <c r="H13" s="195"/>
      <c r="I13" s="252"/>
      <c r="J13" s="190" t="s">
        <v>111</v>
      </c>
      <c r="K13" s="190"/>
      <c r="L13" s="190"/>
      <c r="M13" s="191" t="s">
        <v>112</v>
      </c>
      <c r="N13" s="195"/>
      <c r="O13" s="306"/>
      <c r="Q13" s="173" t="s">
        <v>113</v>
      </c>
      <c r="R13" s="333" t="s">
        <v>114</v>
      </c>
      <c r="AKZ13" s="173"/>
    </row>
    <row r="14" ht="25.95" spans="1:988">
      <c r="A14" s="194"/>
      <c r="B14" s="183" t="s">
        <v>4</v>
      </c>
      <c r="C14" s="184"/>
      <c r="D14" s="190"/>
      <c r="E14" s="190"/>
      <c r="F14" s="247"/>
      <c r="G14" s="184"/>
      <c r="H14" s="190"/>
      <c r="I14" s="247"/>
      <c r="J14" s="190"/>
      <c r="K14" s="190"/>
      <c r="L14" s="190"/>
      <c r="M14" s="184"/>
      <c r="N14" s="190"/>
      <c r="O14" s="302"/>
      <c r="Q14" s="173" t="s">
        <v>115</v>
      </c>
      <c r="R14" s="333" t="s">
        <v>116</v>
      </c>
      <c r="AKZ14" s="173"/>
    </row>
    <row r="15" ht="25.95" spans="1:988">
      <c r="A15" s="194"/>
      <c r="B15" s="196" t="s">
        <v>5</v>
      </c>
      <c r="C15" s="197"/>
      <c r="D15" s="198"/>
      <c r="E15" s="198"/>
      <c r="F15" s="253"/>
      <c r="G15" s="197"/>
      <c r="H15" s="198"/>
      <c r="I15" s="253"/>
      <c r="J15" s="198"/>
      <c r="K15" s="198"/>
      <c r="L15" s="198"/>
      <c r="M15" s="197"/>
      <c r="N15" s="198"/>
      <c r="O15" s="307"/>
      <c r="Q15" s="173" t="s">
        <v>117</v>
      </c>
      <c r="R15" s="333" t="s">
        <v>118</v>
      </c>
      <c r="S15" s="173" t="s">
        <v>62</v>
      </c>
      <c r="AKZ15" s="173"/>
    </row>
    <row r="16" ht="61" customHeight="1" spans="1:988">
      <c r="A16" s="199"/>
      <c r="B16" s="199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R16" s="333"/>
      <c r="AKZ16" s="173"/>
    </row>
    <row r="17" spans="1:15">
      <c r="A17" s="174"/>
      <c r="B17" s="175"/>
      <c r="C17" s="176" t="s">
        <v>25</v>
      </c>
      <c r="D17" s="176"/>
      <c r="E17" s="176"/>
      <c r="F17" s="176"/>
      <c r="G17" s="176" t="s">
        <v>10</v>
      </c>
      <c r="H17" s="176"/>
      <c r="I17" s="176"/>
      <c r="J17" s="176" t="s">
        <v>11</v>
      </c>
      <c r="K17" s="176"/>
      <c r="L17" s="176"/>
      <c r="M17" s="299" t="s">
        <v>12</v>
      </c>
      <c r="N17" s="299"/>
      <c r="O17" s="299"/>
    </row>
    <row r="18" ht="13.35" spans="1:988">
      <c r="A18" s="201"/>
      <c r="B18" s="202"/>
      <c r="C18" s="202" t="s">
        <v>119</v>
      </c>
      <c r="D18" s="202" t="s">
        <v>4</v>
      </c>
      <c r="E18" s="202" t="s">
        <v>5</v>
      </c>
      <c r="F18" s="202" t="s">
        <v>6</v>
      </c>
      <c r="G18" s="202" t="s">
        <v>119</v>
      </c>
      <c r="H18" s="202" t="s">
        <v>4</v>
      </c>
      <c r="I18" s="202" t="s">
        <v>5</v>
      </c>
      <c r="J18" s="202" t="s">
        <v>119</v>
      </c>
      <c r="K18" s="202" t="s">
        <v>4</v>
      </c>
      <c r="L18" s="202" t="s">
        <v>5</v>
      </c>
      <c r="M18" s="202" t="s">
        <v>119</v>
      </c>
      <c r="N18" s="202" t="s">
        <v>4</v>
      </c>
      <c r="O18" s="308" t="s">
        <v>5</v>
      </c>
      <c r="AKZ18" s="173"/>
    </row>
    <row r="19" ht="13.35" spans="1:15">
      <c r="A19" s="179" t="s">
        <v>25</v>
      </c>
      <c r="B19" s="176" t="s">
        <v>119</v>
      </c>
      <c r="C19" s="203">
        <f>(88+10+22+96)/(950+183+182+513)</f>
        <v>0.118161925601751</v>
      </c>
      <c r="D19" s="204">
        <v>0.43</v>
      </c>
      <c r="E19" s="254">
        <f>35/56</f>
        <v>0.625</v>
      </c>
      <c r="F19" s="255"/>
      <c r="G19" s="256">
        <f>(25+25)/(208+172)</f>
        <v>0.131578947368421</v>
      </c>
      <c r="H19" s="257"/>
      <c r="I19" s="290"/>
      <c r="J19" s="291">
        <f>(9+2+1+3)/(209+89+104+167)</f>
        <v>0.0263620386643234</v>
      </c>
      <c r="K19" s="204">
        <f>7/69</f>
        <v>0.101449275362319</v>
      </c>
      <c r="L19" s="204">
        <f>21/100</f>
        <v>0.21</v>
      </c>
      <c r="M19" s="291">
        <v>0</v>
      </c>
      <c r="N19" s="290"/>
      <c r="O19" s="309"/>
    </row>
    <row r="20" ht="13.35" spans="1:15">
      <c r="A20" s="179"/>
      <c r="B20" s="183" t="s">
        <v>4</v>
      </c>
      <c r="C20" s="205">
        <v>0.51</v>
      </c>
      <c r="D20" s="206">
        <f>168/359</f>
        <v>0.467966573816156</v>
      </c>
      <c r="E20" s="212">
        <f>9/31</f>
        <v>0.290322580645161</v>
      </c>
      <c r="F20" s="258"/>
      <c r="G20" s="259"/>
      <c r="H20" s="212"/>
      <c r="I20" s="212"/>
      <c r="J20" s="215">
        <f>5/173</f>
        <v>0.0289017341040462</v>
      </c>
      <c r="K20" s="206">
        <f>24/110</f>
        <v>0.218181818181818</v>
      </c>
      <c r="L20" s="206">
        <f>31/123</f>
        <v>0.252032520325203</v>
      </c>
      <c r="M20" s="205"/>
      <c r="N20" s="212"/>
      <c r="O20" s="310"/>
    </row>
    <row r="21" ht="13.35" spans="1:15">
      <c r="A21" s="179"/>
      <c r="B21" s="183" t="s">
        <v>5</v>
      </c>
      <c r="C21" s="205">
        <v>0.31</v>
      </c>
      <c r="D21" s="206">
        <f>12/21</f>
        <v>0.571428571428571</v>
      </c>
      <c r="E21" s="229">
        <f>4/112</f>
        <v>0.0357142857142857</v>
      </c>
      <c r="F21" s="260">
        <f>11/31</f>
        <v>0.354838709677419</v>
      </c>
      <c r="G21" s="212"/>
      <c r="H21" s="212"/>
      <c r="I21" s="212"/>
      <c r="J21" s="215"/>
      <c r="K21" s="206">
        <f>1/40</f>
        <v>0.025</v>
      </c>
      <c r="L21" s="206"/>
      <c r="M21" s="205"/>
      <c r="N21" s="212"/>
      <c r="O21" s="310"/>
    </row>
    <row r="22" spans="1:15">
      <c r="A22" s="179"/>
      <c r="B22" s="183" t="s">
        <v>6</v>
      </c>
      <c r="C22" s="207"/>
      <c r="D22" s="208"/>
      <c r="E22" s="208"/>
      <c r="F22" s="261"/>
      <c r="G22" s="262"/>
      <c r="H22" s="262"/>
      <c r="I22" s="262"/>
      <c r="J22" s="292"/>
      <c r="K22" s="262"/>
      <c r="L22" s="293"/>
      <c r="M22" s="292"/>
      <c r="N22" s="262"/>
      <c r="O22" s="311"/>
    </row>
    <row r="23" spans="1:15">
      <c r="A23" s="182" t="s">
        <v>10</v>
      </c>
      <c r="B23" s="183" t="s">
        <v>119</v>
      </c>
      <c r="C23" s="209">
        <f>(2+4)/(208+170)</f>
        <v>0.0158730158730159</v>
      </c>
      <c r="D23" s="210"/>
      <c r="E23" s="212"/>
      <c r="F23" s="260"/>
      <c r="G23" s="213">
        <f>254/1046</f>
        <v>0.24282982791587</v>
      </c>
      <c r="H23" s="217">
        <v>0.63</v>
      </c>
      <c r="I23" s="265">
        <v>0.38</v>
      </c>
      <c r="J23" s="216">
        <f>(2+1)/(275+137)</f>
        <v>0.00728155339805825</v>
      </c>
      <c r="K23" s="265"/>
      <c r="L23" s="265"/>
      <c r="M23" s="264">
        <v>0</v>
      </c>
      <c r="N23" s="265"/>
      <c r="O23" s="312"/>
    </row>
    <row r="24" spans="1:15">
      <c r="A24" s="182"/>
      <c r="B24" s="183" t="s">
        <v>4</v>
      </c>
      <c r="C24" s="211"/>
      <c r="D24" s="212"/>
      <c r="E24" s="212"/>
      <c r="F24" s="260"/>
      <c r="G24" s="209">
        <v>0.129</v>
      </c>
      <c r="H24" s="212">
        <v>0.48</v>
      </c>
      <c r="I24" s="212">
        <v>0.56</v>
      </c>
      <c r="J24" s="205"/>
      <c r="K24" s="212"/>
      <c r="L24" s="212"/>
      <c r="M24" s="205"/>
      <c r="N24" s="212"/>
      <c r="O24" s="310"/>
    </row>
    <row r="25" spans="1:15">
      <c r="A25" s="182"/>
      <c r="B25" s="183" t="s">
        <v>5</v>
      </c>
      <c r="C25" s="205"/>
      <c r="D25" s="212"/>
      <c r="E25" s="212"/>
      <c r="F25" s="260"/>
      <c r="G25" s="209">
        <f>8/64</f>
        <v>0.125</v>
      </c>
      <c r="H25" s="212">
        <v>0.61</v>
      </c>
      <c r="I25" s="218">
        <f>2/52</f>
        <v>0.0384615384615385</v>
      </c>
      <c r="J25" s="205"/>
      <c r="K25" s="212"/>
      <c r="L25" s="212"/>
      <c r="M25" s="205"/>
      <c r="N25" s="212"/>
      <c r="O25" s="310"/>
    </row>
    <row r="26" spans="1:15">
      <c r="A26" s="182" t="s">
        <v>11</v>
      </c>
      <c r="B26" s="183" t="s">
        <v>119</v>
      </c>
      <c r="C26" s="213">
        <f>(20+9+5+20)/(211+108+87+164)</f>
        <v>0.0947368421052632</v>
      </c>
      <c r="D26" s="214">
        <f>11/185</f>
        <v>0.0594594594594595</v>
      </c>
      <c r="E26" s="214">
        <f>6/74</f>
        <v>0.0810810810810811</v>
      </c>
      <c r="F26" s="263"/>
      <c r="G26" s="264">
        <f>(32+11)/(276+136)</f>
        <v>0.104368932038835</v>
      </c>
      <c r="H26" s="265"/>
      <c r="I26" s="265"/>
      <c r="J26" s="213">
        <f>(178+14+3+40)/(934+175+174+555)</f>
        <v>0.127856365614799</v>
      </c>
      <c r="K26" s="214">
        <f>33/132</f>
        <v>0.25</v>
      </c>
      <c r="L26" s="294">
        <f>24/114</f>
        <v>0.210526315789474</v>
      </c>
      <c r="M26" s="264">
        <f>(1+2)/(160+100)</f>
        <v>0.0115384615384615</v>
      </c>
      <c r="N26" s="265"/>
      <c r="O26" s="312"/>
    </row>
    <row r="27" spans="1:15">
      <c r="A27" s="182"/>
      <c r="B27" s="183" t="s">
        <v>4</v>
      </c>
      <c r="C27" s="215">
        <f>5/63</f>
        <v>0.0793650793650794</v>
      </c>
      <c r="D27" s="206">
        <f>15/110</f>
        <v>0.136363636363636</v>
      </c>
      <c r="E27" s="206">
        <f>2/40</f>
        <v>0.05</v>
      </c>
      <c r="F27" s="266"/>
      <c r="G27" s="205"/>
      <c r="H27" s="212"/>
      <c r="I27" s="212"/>
      <c r="J27" s="215">
        <f>13/115</f>
        <v>0.11304347826087</v>
      </c>
      <c r="K27" s="206">
        <f>32/67</f>
        <v>0.477611940298507</v>
      </c>
      <c r="L27" s="295">
        <f>26/75</f>
        <v>0.346666666666667</v>
      </c>
      <c r="M27" s="205"/>
      <c r="N27" s="212"/>
      <c r="O27" s="310"/>
    </row>
    <row r="28" spans="1:15">
      <c r="A28" s="182"/>
      <c r="B28" s="183" t="s">
        <v>5</v>
      </c>
      <c r="C28" s="215">
        <f>10/89</f>
        <v>0.112359550561798</v>
      </c>
      <c r="D28" s="206">
        <f>1/123</f>
        <v>0.00813008130081301</v>
      </c>
      <c r="E28" s="267"/>
      <c r="F28" s="268"/>
      <c r="G28" s="205"/>
      <c r="H28" s="212"/>
      <c r="I28" s="212"/>
      <c r="J28" s="296">
        <f>8/102</f>
        <v>0.0784313725490196</v>
      </c>
      <c r="K28" s="297">
        <f>12/76</f>
        <v>0.157894736842105</v>
      </c>
      <c r="L28" s="275">
        <f>14/281</f>
        <v>0.0498220640569395</v>
      </c>
      <c r="M28" s="205"/>
      <c r="N28" s="212"/>
      <c r="O28" s="310"/>
    </row>
    <row r="29" ht="13.35" spans="1:15">
      <c r="A29" s="194" t="s">
        <v>12</v>
      </c>
      <c r="B29" s="183" t="s">
        <v>119</v>
      </c>
      <c r="C29" s="216">
        <v>0</v>
      </c>
      <c r="D29" s="217"/>
      <c r="E29" s="217"/>
      <c r="F29" s="269"/>
      <c r="G29" s="216">
        <f>3/93</f>
        <v>0.032258064516129</v>
      </c>
      <c r="H29" s="217"/>
      <c r="I29" s="269"/>
      <c r="J29" s="218">
        <f>(5+7)/(158+100)</f>
        <v>0.0465116279069767</v>
      </c>
      <c r="K29" s="218"/>
      <c r="L29" s="218"/>
      <c r="M29" s="216">
        <f>15/532</f>
        <v>0.0281954887218045</v>
      </c>
      <c r="N29" s="313">
        <f t="shared" ref="N29:N31" si="0">AVERAGE(D19,H23,K26)</f>
        <v>0.436666666666667</v>
      </c>
      <c r="O29" s="314">
        <f t="shared" ref="O29:O31" si="1">AVERAGE(E19,I23,L26)</f>
        <v>0.405175438596491</v>
      </c>
    </row>
    <row r="30" ht="13.35" spans="1:15">
      <c r="A30" s="194"/>
      <c r="B30" s="183" t="s">
        <v>4</v>
      </c>
      <c r="C30" s="209"/>
      <c r="D30" s="218"/>
      <c r="E30" s="218"/>
      <c r="F30" s="270"/>
      <c r="G30" s="209"/>
      <c r="H30" s="218"/>
      <c r="I30" s="270"/>
      <c r="J30" s="218"/>
      <c r="K30" s="218"/>
      <c r="L30" s="218"/>
      <c r="M30" s="315">
        <f>AVERAGE(C20,G24,J27)</f>
        <v>0.25068115942029</v>
      </c>
      <c r="N30" s="316">
        <f t="shared" si="0"/>
        <v>0.475192838038221</v>
      </c>
      <c r="O30" s="317">
        <f t="shared" si="1"/>
        <v>0.398996415770609</v>
      </c>
    </row>
    <row r="31" ht="13.35" spans="1:15">
      <c r="A31" s="194"/>
      <c r="B31" s="196" t="s">
        <v>5</v>
      </c>
      <c r="C31" s="219"/>
      <c r="D31" s="220"/>
      <c r="E31" s="220"/>
      <c r="F31" s="271"/>
      <c r="G31" s="219"/>
      <c r="H31" s="220"/>
      <c r="I31" s="271"/>
      <c r="J31" s="220"/>
      <c r="K31" s="220"/>
      <c r="L31" s="220"/>
      <c r="M31" s="318">
        <f>AVERAGE(C21,G25,J28)</f>
        <v>0.171143790849673</v>
      </c>
      <c r="N31" s="319">
        <f t="shared" si="0"/>
        <v>0.446441102756892</v>
      </c>
      <c r="O31" s="320">
        <f t="shared" si="1"/>
        <v>0.0413326294109212</v>
      </c>
    </row>
    <row r="32" ht="50.4" spans="1:15">
      <c r="A32" s="221" t="s">
        <v>120</v>
      </c>
      <c r="B32" s="222" t="s">
        <v>121</v>
      </c>
      <c r="C32" s="223" t="s">
        <v>122</v>
      </c>
      <c r="D32" s="224"/>
      <c r="E32" s="224"/>
      <c r="F32" s="212"/>
      <c r="G32" s="224"/>
      <c r="H32" s="224"/>
      <c r="I32" s="224"/>
      <c r="J32" s="224"/>
      <c r="K32" s="224"/>
      <c r="L32" s="224"/>
      <c r="M32" s="321"/>
      <c r="N32" s="321"/>
      <c r="O32" s="321"/>
    </row>
    <row r="33" spans="1:15">
      <c r="A33" s="225"/>
      <c r="B33" s="199"/>
      <c r="C33" s="224"/>
      <c r="D33" s="224"/>
      <c r="E33" s="224"/>
      <c r="F33" s="212"/>
      <c r="G33" s="224"/>
      <c r="H33" s="224"/>
      <c r="I33" s="224"/>
      <c r="J33" s="224"/>
      <c r="K33" s="224"/>
      <c r="L33" s="224"/>
      <c r="M33" s="321"/>
      <c r="N33" s="321"/>
      <c r="O33" s="321"/>
    </row>
    <row r="34" ht="13.35" spans="1:15">
      <c r="A34" s="199" t="s">
        <v>123</v>
      </c>
      <c r="B34" s="199" t="s">
        <v>124</v>
      </c>
      <c r="C34" s="224"/>
      <c r="D34" s="224"/>
      <c r="E34" s="224"/>
      <c r="F34" s="212"/>
      <c r="G34" s="224"/>
      <c r="H34" s="224"/>
      <c r="I34" s="224"/>
      <c r="J34" s="224"/>
      <c r="K34" s="224"/>
      <c r="L34" s="224"/>
      <c r="M34" s="321"/>
      <c r="N34" s="321"/>
      <c r="O34" s="321"/>
    </row>
    <row r="35" spans="1:15">
      <c r="A35" s="174"/>
      <c r="B35" s="175"/>
      <c r="C35" s="176" t="s">
        <v>125</v>
      </c>
      <c r="D35" s="176"/>
      <c r="E35" s="176"/>
      <c r="F35" s="176"/>
      <c r="G35" s="176" t="s">
        <v>126</v>
      </c>
      <c r="H35" s="176"/>
      <c r="I35" s="176"/>
      <c r="J35" s="176" t="s">
        <v>127</v>
      </c>
      <c r="K35" s="176"/>
      <c r="L35" s="176"/>
      <c r="M35" s="299" t="s">
        <v>128</v>
      </c>
      <c r="N35" s="299"/>
      <c r="O35" s="299"/>
    </row>
    <row r="36" ht="13.35" spans="1:15">
      <c r="A36" s="201"/>
      <c r="B36" s="202"/>
      <c r="C36" s="202" t="s">
        <v>119</v>
      </c>
      <c r="D36" s="202" t="s">
        <v>4</v>
      </c>
      <c r="E36" s="202" t="s">
        <v>5</v>
      </c>
      <c r="F36" s="202" t="s">
        <v>6</v>
      </c>
      <c r="G36" s="202" t="s">
        <v>119</v>
      </c>
      <c r="H36" s="202" t="s">
        <v>4</v>
      </c>
      <c r="I36" s="202" t="s">
        <v>5</v>
      </c>
      <c r="J36" s="202" t="s">
        <v>119</v>
      </c>
      <c r="K36" s="202" t="s">
        <v>4</v>
      </c>
      <c r="L36" s="202" t="s">
        <v>5</v>
      </c>
      <c r="M36" s="202" t="s">
        <v>119</v>
      </c>
      <c r="N36" s="202" t="s">
        <v>4</v>
      </c>
      <c r="O36" s="308" t="s">
        <v>5</v>
      </c>
    </row>
    <row r="37" ht="13.35" spans="1:15">
      <c r="A37" s="179" t="s">
        <v>129</v>
      </c>
      <c r="B37" s="176" t="s">
        <v>119</v>
      </c>
      <c r="C37" s="226"/>
      <c r="D37" s="227">
        <f>17/49</f>
        <v>0.346938775510204</v>
      </c>
      <c r="E37" s="227">
        <f>11/53</f>
        <v>0.207547169811321</v>
      </c>
      <c r="F37" s="272">
        <f>1/48</f>
        <v>0.0208333333333333</v>
      </c>
      <c r="G37" s="227"/>
      <c r="H37" s="273">
        <f>7/16</f>
        <v>0.4375</v>
      </c>
      <c r="I37" s="227">
        <f>3/11</f>
        <v>0.272727272727273</v>
      </c>
      <c r="J37" s="226"/>
      <c r="K37" s="227"/>
      <c r="L37" s="273">
        <f>1/15</f>
        <v>0.0666666666666667</v>
      </c>
      <c r="M37" s="226"/>
      <c r="N37" s="273">
        <f>0/12</f>
        <v>0</v>
      </c>
      <c r="O37" s="322"/>
    </row>
    <row r="38" ht="13.35" spans="1:15">
      <c r="A38" s="179"/>
      <c r="B38" s="183" t="s">
        <v>4</v>
      </c>
      <c r="C38" s="228">
        <f>19/50</f>
        <v>0.38</v>
      </c>
      <c r="D38" s="229">
        <f>36/97</f>
        <v>0.371134020618557</v>
      </c>
      <c r="E38" s="230">
        <f>10/64</f>
        <v>0.15625</v>
      </c>
      <c r="F38" s="274">
        <f>1/47</f>
        <v>0.0212765957446809</v>
      </c>
      <c r="G38" s="229">
        <f>4/16</f>
        <v>0.25</v>
      </c>
      <c r="H38" s="229">
        <f>4/19</f>
        <v>0.210526315789474</v>
      </c>
      <c r="I38" s="230"/>
      <c r="J38" s="233">
        <f>1/(8+20)</f>
        <v>0.0357142857142857</v>
      </c>
      <c r="K38" s="229">
        <f>1/17</f>
        <v>0.0588235294117647</v>
      </c>
      <c r="L38" s="230"/>
      <c r="M38" s="233">
        <f>0/11</f>
        <v>0</v>
      </c>
      <c r="N38" s="230"/>
      <c r="O38" s="323"/>
    </row>
    <row r="39" ht="13.35" spans="1:15">
      <c r="A39" s="179"/>
      <c r="B39" s="183" t="s">
        <v>5</v>
      </c>
      <c r="C39" s="228">
        <f>16/59</f>
        <v>0.271186440677966</v>
      </c>
      <c r="D39" s="230">
        <f>5/68</f>
        <v>0.0735294117647059</v>
      </c>
      <c r="E39" s="229">
        <f>4/112</f>
        <v>0.0357142857142857</v>
      </c>
      <c r="F39" s="274">
        <f>4/27</f>
        <v>0.148148148148148</v>
      </c>
      <c r="G39" s="230"/>
      <c r="H39" s="230"/>
      <c r="I39" s="230"/>
      <c r="J39" s="228"/>
      <c r="K39" s="230"/>
      <c r="L39" s="229">
        <f>0/14</f>
        <v>0</v>
      </c>
      <c r="M39" s="228"/>
      <c r="N39" s="230"/>
      <c r="O39" s="323"/>
    </row>
    <row r="40" spans="1:15">
      <c r="A40" s="179"/>
      <c r="B40" s="183" t="s">
        <v>6</v>
      </c>
      <c r="C40" s="231">
        <f>9/51</f>
        <v>0.176470588235294</v>
      </c>
      <c r="D40" s="232">
        <f>0/47</f>
        <v>0</v>
      </c>
      <c r="E40" s="232">
        <f>4/27</f>
        <v>0.148148148148148</v>
      </c>
      <c r="F40" s="275">
        <f>0/118</f>
        <v>0</v>
      </c>
      <c r="G40" s="232">
        <f>1/22</f>
        <v>0.0454545454545455</v>
      </c>
      <c r="H40" s="232">
        <f>0/10</f>
        <v>0</v>
      </c>
      <c r="I40" s="232">
        <f>4/24</f>
        <v>0.166666666666667</v>
      </c>
      <c r="J40" s="231">
        <f>0/(8+11)</f>
        <v>0</v>
      </c>
      <c r="K40" s="232">
        <f>0/13</f>
        <v>0</v>
      </c>
      <c r="L40" s="232">
        <f>3/18</f>
        <v>0.166666666666667</v>
      </c>
      <c r="M40" s="324"/>
      <c r="N40" s="325"/>
      <c r="O40" s="326"/>
    </row>
    <row r="41" spans="1:15">
      <c r="A41" s="182" t="s">
        <v>130</v>
      </c>
      <c r="B41" s="183" t="s">
        <v>119</v>
      </c>
      <c r="C41" s="228"/>
      <c r="D41" s="229">
        <f>2/16</f>
        <v>0.125</v>
      </c>
      <c r="E41" s="230">
        <f>1/23</f>
        <v>0.0434782608695652</v>
      </c>
      <c r="F41" s="274">
        <f>0/19</f>
        <v>0</v>
      </c>
      <c r="G41" s="234"/>
      <c r="H41" s="236">
        <f>7/34</f>
        <v>0.205882352941176</v>
      </c>
      <c r="I41" s="236">
        <f>4/13</f>
        <v>0.307692307692308</v>
      </c>
      <c r="J41" s="277"/>
      <c r="K41" s="235">
        <f>3/12</f>
        <v>0.25</v>
      </c>
      <c r="L41" s="235">
        <f>1/19</f>
        <v>0.0526315789473684</v>
      </c>
      <c r="M41" s="234"/>
      <c r="N41" s="236"/>
      <c r="O41" s="327"/>
    </row>
    <row r="42" spans="1:15">
      <c r="A42" s="182"/>
      <c r="B42" s="183" t="s">
        <v>4</v>
      </c>
      <c r="C42" s="233">
        <f>5/16</f>
        <v>0.3125</v>
      </c>
      <c r="D42" s="229">
        <f>3/17</f>
        <v>0.176470588235294</v>
      </c>
      <c r="E42" s="230"/>
      <c r="F42" s="274">
        <f>0/12</f>
        <v>0</v>
      </c>
      <c r="G42" s="228">
        <f>4/33</f>
        <v>0.121212121212121</v>
      </c>
      <c r="H42" s="230">
        <f>26/55</f>
        <v>0.472727272727273</v>
      </c>
      <c r="I42" s="230">
        <f>0/2</f>
        <v>0</v>
      </c>
      <c r="J42" s="233">
        <f>0/(9+15)</f>
        <v>0</v>
      </c>
      <c r="K42" s="229">
        <f>6/25</f>
        <v>0.24</v>
      </c>
      <c r="L42" s="229"/>
      <c r="M42" s="228"/>
      <c r="N42" s="230"/>
      <c r="O42" s="323"/>
    </row>
    <row r="43" spans="1:15">
      <c r="A43" s="182"/>
      <c r="B43" s="183" t="s">
        <v>5</v>
      </c>
      <c r="C43" s="233">
        <f>1/11</f>
        <v>0.0909090909090909</v>
      </c>
      <c r="D43" s="229"/>
      <c r="E43" s="230"/>
      <c r="F43" s="274">
        <f>4/24</f>
        <v>0.166666666666667</v>
      </c>
      <c r="G43" s="228">
        <f>0/13</f>
        <v>0</v>
      </c>
      <c r="H43" s="230">
        <f>0/2</f>
        <v>0</v>
      </c>
      <c r="I43" s="230">
        <f>0/39</f>
        <v>0</v>
      </c>
      <c r="J43" s="233">
        <f>1/(7+6)</f>
        <v>0.0769230769230769</v>
      </c>
      <c r="K43" s="229"/>
      <c r="L43" s="229">
        <f>1/33</f>
        <v>0.0303030303030303</v>
      </c>
      <c r="M43" s="228"/>
      <c r="N43" s="230"/>
      <c r="O43" s="323"/>
    </row>
    <row r="44" spans="1:15">
      <c r="A44" s="182" t="s">
        <v>131</v>
      </c>
      <c r="B44" s="183" t="s">
        <v>119</v>
      </c>
      <c r="C44" s="234"/>
      <c r="D44" s="235">
        <f>1/(11+17)</f>
        <v>0.0357142857142857</v>
      </c>
      <c r="E44" s="236"/>
      <c r="F44" s="276">
        <f>0/(6+8)</f>
        <v>0</v>
      </c>
      <c r="G44" s="277"/>
      <c r="H44" s="235">
        <f>(2+2)/(9+13)</f>
        <v>0.181818181818182</v>
      </c>
      <c r="I44" s="235">
        <f>0/(7+4)</f>
        <v>0</v>
      </c>
      <c r="J44" s="234"/>
      <c r="K44" s="235">
        <f>(8+2)/(38+34)</f>
        <v>0.138888888888889</v>
      </c>
      <c r="L44" s="276">
        <f>(13+3)/(46+37)</f>
        <v>0.192771084337349</v>
      </c>
      <c r="M44" s="234"/>
      <c r="N44" s="236"/>
      <c r="O44" s="327"/>
    </row>
    <row r="45" spans="1:15">
      <c r="A45" s="182"/>
      <c r="B45" s="183" t="s">
        <v>4</v>
      </c>
      <c r="C45" s="228"/>
      <c r="D45" s="229">
        <f>2/16</f>
        <v>0.125</v>
      </c>
      <c r="E45" s="230"/>
      <c r="F45" s="274">
        <f>1/11</f>
        <v>0.0909090909090909</v>
      </c>
      <c r="G45" s="233">
        <f>3/13</f>
        <v>0.230769230769231</v>
      </c>
      <c r="H45" s="229">
        <f>5/28</f>
        <v>0.178571428571429</v>
      </c>
      <c r="I45" s="229"/>
      <c r="J45" s="233">
        <f>(4+3)/(36+38)</f>
        <v>0.0945945945945946</v>
      </c>
      <c r="K45" s="229">
        <f>27/126</f>
        <v>0.214285714285714</v>
      </c>
      <c r="L45" s="274">
        <f>6/56</f>
        <v>0.107142857142857</v>
      </c>
      <c r="M45" s="233">
        <f>0/12</f>
        <v>0</v>
      </c>
      <c r="N45" s="229">
        <f>3/30</f>
        <v>0.1</v>
      </c>
      <c r="O45" s="328">
        <f>2/13</f>
        <v>0.153846153846154</v>
      </c>
    </row>
    <row r="46" spans="1:15">
      <c r="A46" s="182"/>
      <c r="B46" s="183" t="s">
        <v>5</v>
      </c>
      <c r="C46" s="228">
        <f>0/17</f>
        <v>0</v>
      </c>
      <c r="D46" s="230"/>
      <c r="E46" s="278">
        <f>0/17</f>
        <v>0</v>
      </c>
      <c r="F46" s="274">
        <f>0/20</f>
        <v>0</v>
      </c>
      <c r="G46" s="233">
        <f>0/20</f>
        <v>0</v>
      </c>
      <c r="H46" s="229"/>
      <c r="I46" s="229">
        <f>1/34</f>
        <v>0.0294117647058824</v>
      </c>
      <c r="J46" s="231">
        <f>(4+7)/(47+48)</f>
        <v>0.115789473684211</v>
      </c>
      <c r="K46" s="232">
        <f>5/58</f>
        <v>0.0862068965517241</v>
      </c>
      <c r="L46" s="275">
        <f>14/281</f>
        <v>0.0498220640569395</v>
      </c>
      <c r="M46" s="233"/>
      <c r="N46" s="229">
        <f>1/28</f>
        <v>0.0357142857142857</v>
      </c>
      <c r="O46" s="328">
        <f>0/47</f>
        <v>0</v>
      </c>
    </row>
    <row r="47" ht="13.35" spans="1:15">
      <c r="A47" s="194" t="s">
        <v>132</v>
      </c>
      <c r="B47" s="183" t="s">
        <v>119</v>
      </c>
      <c r="C47" s="234"/>
      <c r="D47" s="236"/>
      <c r="E47" s="236"/>
      <c r="F47" s="279"/>
      <c r="G47" s="234"/>
      <c r="H47" s="236"/>
      <c r="I47" s="279"/>
      <c r="J47" s="229"/>
      <c r="K47" s="229">
        <f>0/12</f>
        <v>0</v>
      </c>
      <c r="L47" s="229"/>
      <c r="M47" s="234"/>
      <c r="N47" s="235">
        <f>16/69</f>
        <v>0.231884057971014</v>
      </c>
      <c r="O47" s="329">
        <f>3/68</f>
        <v>0.0441176470588235</v>
      </c>
    </row>
    <row r="48" ht="13.35" spans="1:15">
      <c r="A48" s="194"/>
      <c r="B48" s="183" t="s">
        <v>4</v>
      </c>
      <c r="C48" s="228">
        <f>0/12</f>
        <v>0</v>
      </c>
      <c r="D48" s="230"/>
      <c r="E48" s="230"/>
      <c r="F48" s="280"/>
      <c r="G48" s="228"/>
      <c r="H48" s="230"/>
      <c r="I48" s="280"/>
      <c r="J48" s="229"/>
      <c r="K48" s="229">
        <f>3/31</f>
        <v>0.0967741935483871</v>
      </c>
      <c r="L48" s="229">
        <f>3/29</f>
        <v>0.103448275862069</v>
      </c>
      <c r="M48" s="233">
        <f>11/76</f>
        <v>0.144736842105263</v>
      </c>
      <c r="N48" s="229">
        <f>41/118</f>
        <v>0.347457627118644</v>
      </c>
      <c r="O48" s="328">
        <f>10/81</f>
        <v>0.123456790123457</v>
      </c>
    </row>
    <row r="49" ht="13.35" spans="1:15">
      <c r="A49" s="194"/>
      <c r="B49" s="196" t="s">
        <v>5</v>
      </c>
      <c r="C49" s="237"/>
      <c r="D49" s="238"/>
      <c r="E49" s="238">
        <f>0/10</f>
        <v>0</v>
      </c>
      <c r="F49" s="281"/>
      <c r="G49" s="237"/>
      <c r="H49" s="238"/>
      <c r="I49" s="281"/>
      <c r="J49" s="298"/>
      <c r="K49" s="298">
        <f>0/13</f>
        <v>0</v>
      </c>
      <c r="L49" s="298">
        <f>2/49</f>
        <v>0.0408163265306122</v>
      </c>
      <c r="M49" s="330">
        <f>10/77</f>
        <v>0.12987012987013</v>
      </c>
      <c r="N49" s="298">
        <f>1/82</f>
        <v>0.0121951219512195</v>
      </c>
      <c r="O49" s="331">
        <f>11/242</f>
        <v>0.0454545454545455</v>
      </c>
    </row>
    <row r="50" spans="1:15">
      <c r="A50" s="199"/>
      <c r="B50" s="199"/>
      <c r="C50" s="224"/>
      <c r="D50" s="224"/>
      <c r="E50" s="224"/>
      <c r="F50" s="212"/>
      <c r="G50" s="224"/>
      <c r="H50" s="224"/>
      <c r="I50" s="224"/>
      <c r="J50" s="224"/>
      <c r="K50" s="224"/>
      <c r="L50" s="224"/>
      <c r="M50" s="321"/>
      <c r="N50" s="321"/>
      <c r="O50" s="321"/>
    </row>
    <row r="51" spans="1:1">
      <c r="A51" s="173" t="s">
        <v>6</v>
      </c>
    </row>
    <row r="52" spans="1:1">
      <c r="A52" s="239" t="s">
        <v>133</v>
      </c>
    </row>
    <row r="53" spans="1:1">
      <c r="A53" s="239" t="s">
        <v>134</v>
      </c>
    </row>
    <row r="54" spans="1:1">
      <c r="A54" s="239" t="s">
        <v>135</v>
      </c>
    </row>
    <row r="55" spans="1:1">
      <c r="A55" s="239" t="s">
        <v>136</v>
      </c>
    </row>
  </sheetData>
  <mergeCells count="24">
    <mergeCell ref="C1:F1"/>
    <mergeCell ref="G1:I1"/>
    <mergeCell ref="J1:L1"/>
    <mergeCell ref="M1:O1"/>
    <mergeCell ref="C17:F17"/>
    <mergeCell ref="G17:I17"/>
    <mergeCell ref="J17:L17"/>
    <mergeCell ref="M17:O17"/>
    <mergeCell ref="C35:F35"/>
    <mergeCell ref="G35:I35"/>
    <mergeCell ref="J35:L35"/>
    <mergeCell ref="M35:O35"/>
    <mergeCell ref="A3:A6"/>
    <mergeCell ref="A7:A9"/>
    <mergeCell ref="A10:A12"/>
    <mergeCell ref="A13:A15"/>
    <mergeCell ref="A19:A22"/>
    <mergeCell ref="A23:A25"/>
    <mergeCell ref="A26:A28"/>
    <mergeCell ref="A29:A31"/>
    <mergeCell ref="A37:A40"/>
    <mergeCell ref="A41:A43"/>
    <mergeCell ref="A44:A46"/>
    <mergeCell ref="A47:A49"/>
  </mergeCells>
  <hyperlinks>
    <hyperlink ref="A52" r:id="rId4" display="https://www.frontiersin.org/articles/10.3389/fnana.2016.00124/full"/>
    <hyperlink ref="A53" r:id="rId5" display="https://onlinelibrary.wiley.com/doi/abs/10.1002/(SICI)1096-9861(19960401)367:2%3C194::AID-CNE3%3E3.0.CO;2-0"/>
    <hyperlink ref="A54" r:id="rId6" display="https://onlinelibrary.wiley.com/doi/abs/10.1111/j.1460-9568.1997.tb01644.x"/>
    <hyperlink ref="A55" r:id="rId7" display="https://onlinelibrary.wiley.com/doi/abs/10.1046/j.1460-9568.2002.02048.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89814814814815" defaultRowHeight="12.6" outlineLevelCol="7"/>
  <cols>
    <col min="1" max="1" width="30.2962962962963" style="160" customWidth="1"/>
    <col min="2" max="2" width="16.8888888888889" style="160" customWidth="1"/>
    <col min="3" max="3" width="7" style="160" customWidth="1"/>
    <col min="4" max="4" width="6.11111111111111" style="160" customWidth="1"/>
    <col min="5" max="5" width="7.44444444444444" style="160" customWidth="1"/>
    <col min="6" max="6" width="9.33333333333333" style="160" customWidth="1"/>
    <col min="7" max="7" width="7.88888888888889" style="160" customWidth="1"/>
    <col min="8" max="16384" width="8.89814814814815" style="160"/>
  </cols>
  <sheetData>
    <row r="1" spans="1:8">
      <c r="A1" s="160" t="s">
        <v>29</v>
      </c>
      <c r="B1" s="160" t="s">
        <v>137</v>
      </c>
      <c r="C1" s="160" t="s">
        <v>138</v>
      </c>
      <c r="D1" s="160" t="s">
        <v>139</v>
      </c>
      <c r="E1" s="160" t="s">
        <v>140</v>
      </c>
      <c r="F1" s="160" t="s">
        <v>141</v>
      </c>
      <c r="G1" s="160" t="s">
        <v>142</v>
      </c>
      <c r="H1" s="160" t="s">
        <v>143</v>
      </c>
    </row>
    <row r="2" spans="1:8">
      <c r="A2" s="161" t="s">
        <v>144</v>
      </c>
      <c r="B2" s="162" t="s">
        <v>145</v>
      </c>
      <c r="C2" s="162">
        <v>39</v>
      </c>
      <c r="D2" s="161"/>
      <c r="E2" s="161"/>
      <c r="F2" s="161"/>
      <c r="G2" s="161" t="s">
        <v>146</v>
      </c>
      <c r="H2" s="161" t="s">
        <v>147</v>
      </c>
    </row>
    <row r="3" spans="1:8">
      <c r="A3" s="161" t="s">
        <v>148</v>
      </c>
      <c r="B3" s="163" t="s">
        <v>149</v>
      </c>
      <c r="C3" s="163">
        <v>39</v>
      </c>
      <c r="D3" s="161"/>
      <c r="E3" s="161"/>
      <c r="F3" s="161"/>
      <c r="G3" s="161" t="s">
        <v>150</v>
      </c>
      <c r="H3" s="161"/>
    </row>
    <row r="4" spans="1:8">
      <c r="A4" s="161"/>
      <c r="B4" s="164" t="s">
        <v>151</v>
      </c>
      <c r="C4" s="164">
        <v>157</v>
      </c>
      <c r="D4" s="161"/>
      <c r="E4" s="161"/>
      <c r="F4" s="161"/>
      <c r="G4" s="161" t="s">
        <v>152</v>
      </c>
      <c r="H4" s="161"/>
    </row>
    <row r="5" spans="1:8">
      <c r="A5" s="161"/>
      <c r="B5" s="161" t="s">
        <v>153</v>
      </c>
      <c r="C5" s="161">
        <v>104</v>
      </c>
      <c r="D5" s="161"/>
      <c r="E5" s="161"/>
      <c r="F5" s="161"/>
      <c r="G5" s="161" t="s">
        <v>154</v>
      </c>
      <c r="H5" s="161"/>
    </row>
    <row r="6" spans="2:7">
      <c r="B6" s="164"/>
      <c r="C6" s="164"/>
      <c r="D6" s="161"/>
      <c r="E6" s="161"/>
      <c r="F6" s="161"/>
      <c r="G6" s="161"/>
    </row>
    <row r="7" ht="50.4" spans="1:7">
      <c r="A7" s="165" t="s">
        <v>155</v>
      </c>
      <c r="B7" s="166" t="s">
        <v>156</v>
      </c>
      <c r="C7" s="166">
        <v>48</v>
      </c>
      <c r="D7" s="166">
        <f t="shared" ref="D7:D18" si="0">1000*E7/C7</f>
        <v>245.833333333333</v>
      </c>
      <c r="E7" s="166">
        <v>11.8</v>
      </c>
      <c r="F7" s="166">
        <v>-63.5</v>
      </c>
      <c r="G7" s="166">
        <v>-44.8</v>
      </c>
    </row>
    <row r="8" spans="1:7">
      <c r="A8" s="161" t="s">
        <v>157</v>
      </c>
      <c r="B8" s="166" t="s">
        <v>158</v>
      </c>
      <c r="C8" s="166">
        <v>27.1</v>
      </c>
      <c r="D8" s="166">
        <f t="shared" si="0"/>
        <v>612.546125461255</v>
      </c>
      <c r="E8" s="166">
        <v>16.6</v>
      </c>
      <c r="F8" s="166">
        <v>-59</v>
      </c>
      <c r="G8" s="166">
        <v>-50.5</v>
      </c>
    </row>
    <row r="9" spans="1:7">
      <c r="A9" s="161"/>
      <c r="B9" s="166" t="s">
        <v>159</v>
      </c>
      <c r="C9" s="166">
        <v>45.7</v>
      </c>
      <c r="D9" s="166">
        <f t="shared" si="0"/>
        <v>229.759299781182</v>
      </c>
      <c r="E9" s="166">
        <v>10.5</v>
      </c>
      <c r="F9" s="166">
        <v>-67.4</v>
      </c>
      <c r="G9" s="166">
        <v>-41.5</v>
      </c>
    </row>
    <row r="10" spans="1:7">
      <c r="A10" s="161"/>
      <c r="B10" s="167" t="s">
        <v>160</v>
      </c>
      <c r="C10" s="167">
        <v>49.4</v>
      </c>
      <c r="D10" s="167">
        <f t="shared" si="0"/>
        <v>80.9716599190283</v>
      </c>
      <c r="E10" s="167">
        <v>4</v>
      </c>
      <c r="F10" s="167">
        <v>-67.1</v>
      </c>
      <c r="G10" s="167">
        <v>-42.3</v>
      </c>
    </row>
    <row r="11" spans="1:7">
      <c r="A11" s="161"/>
      <c r="B11" s="167" t="s">
        <v>161</v>
      </c>
      <c r="C11" s="167">
        <v>33</v>
      </c>
      <c r="D11" s="167">
        <f t="shared" si="0"/>
        <v>93.9393939393939</v>
      </c>
      <c r="E11" s="167">
        <v>3.1</v>
      </c>
      <c r="F11" s="167">
        <v>-66.4</v>
      </c>
      <c r="G11" s="167">
        <v>-41.6</v>
      </c>
    </row>
    <row r="12" spans="1:7">
      <c r="A12" s="161"/>
      <c r="B12" s="168" t="s">
        <v>162</v>
      </c>
      <c r="C12" s="168">
        <v>79.7</v>
      </c>
      <c r="D12" s="168">
        <f t="shared" si="0"/>
        <v>146.800501882058</v>
      </c>
      <c r="E12" s="168">
        <v>11.7</v>
      </c>
      <c r="F12" s="168">
        <v>-63.2</v>
      </c>
      <c r="G12" s="168">
        <v>-48.1</v>
      </c>
    </row>
    <row r="13" spans="1:7">
      <c r="A13" s="161"/>
      <c r="B13" s="168" t="s">
        <v>163</v>
      </c>
      <c r="C13" s="168">
        <v>95.7</v>
      </c>
      <c r="D13" s="168">
        <f t="shared" si="0"/>
        <v>123.301985370951</v>
      </c>
      <c r="E13" s="168">
        <v>11.8</v>
      </c>
      <c r="F13" s="168">
        <v>-59.9</v>
      </c>
      <c r="G13" s="168">
        <v>-41.8</v>
      </c>
    </row>
    <row r="14" spans="1:7">
      <c r="A14" s="161"/>
      <c r="B14" s="169" t="s">
        <v>164</v>
      </c>
      <c r="C14" s="169">
        <v>126</v>
      </c>
      <c r="D14" s="169">
        <f t="shared" si="0"/>
        <v>86.5079365079365</v>
      </c>
      <c r="E14" s="169">
        <v>10.9</v>
      </c>
      <c r="F14" s="169">
        <v>-65.7</v>
      </c>
      <c r="G14" s="169">
        <v>-43.7</v>
      </c>
    </row>
    <row r="15" spans="2:7">
      <c r="B15" s="162" t="s">
        <v>165</v>
      </c>
      <c r="C15" s="162">
        <f>AVERAGE(C7:C9)</f>
        <v>40.2666666666667</v>
      </c>
      <c r="D15" s="162">
        <f t="shared" si="0"/>
        <v>322.019867549669</v>
      </c>
      <c r="E15" s="162">
        <f>AVERAGE(E7:E9)</f>
        <v>12.9666666666667</v>
      </c>
      <c r="F15" s="162">
        <f>AVERAGE(F7:F9)</f>
        <v>-63.3</v>
      </c>
      <c r="G15" s="162">
        <f>AVERAGE(G7:G9)</f>
        <v>-45.6</v>
      </c>
    </row>
    <row r="16" spans="2:7">
      <c r="B16" s="163" t="s">
        <v>166</v>
      </c>
      <c r="C16" s="163">
        <f>AVERAGE(C10:C11)</f>
        <v>41.2</v>
      </c>
      <c r="D16" s="163">
        <f t="shared" si="0"/>
        <v>86.1650485436893</v>
      </c>
      <c r="E16" s="163">
        <f>AVERAGE(E10:E11)</f>
        <v>3.55</v>
      </c>
      <c r="F16" s="163">
        <f>AVERAGE(F10:F11)</f>
        <v>-66.75</v>
      </c>
      <c r="G16" s="163">
        <f>AVERAGE(G10:G11)</f>
        <v>-41.95</v>
      </c>
    </row>
    <row r="17" spans="2:7">
      <c r="B17" s="164" t="s">
        <v>167</v>
      </c>
      <c r="C17" s="164">
        <f>AVERAGE(C12:C13)</f>
        <v>87.7</v>
      </c>
      <c r="D17" s="164">
        <f t="shared" si="0"/>
        <v>133.979475484607</v>
      </c>
      <c r="E17" s="164">
        <f>AVERAGE(E12:E13)</f>
        <v>11.75</v>
      </c>
      <c r="F17" s="164">
        <f>AVERAGE(F12:F13)</f>
        <v>-61.55</v>
      </c>
      <c r="G17" s="164">
        <f>AVERAGE(G12:G13)</f>
        <v>-44.95</v>
      </c>
    </row>
    <row r="18" spans="2:7">
      <c r="B18" s="170" t="s">
        <v>168</v>
      </c>
      <c r="C18" s="170">
        <f>C14</f>
        <v>126</v>
      </c>
      <c r="D18" s="170">
        <f t="shared" si="0"/>
        <v>86.5079365079365</v>
      </c>
      <c r="E18" s="170">
        <f>E14</f>
        <v>10.9</v>
      </c>
      <c r="F18" s="170">
        <f>F14</f>
        <v>-65.7</v>
      </c>
      <c r="G18" s="170">
        <f>G14</f>
        <v>-43.7</v>
      </c>
    </row>
    <row r="19" spans="2:7">
      <c r="B19" s="170"/>
      <c r="C19" s="170"/>
      <c r="D19" s="170"/>
      <c r="E19" s="170"/>
      <c r="F19" s="170"/>
      <c r="G19" s="170"/>
    </row>
    <row r="20" ht="26" customHeight="1" spans="1:8">
      <c r="A20" s="171" t="s">
        <v>169</v>
      </c>
      <c r="B20" s="168" t="s">
        <v>170</v>
      </c>
      <c r="C20" s="168">
        <v>132</v>
      </c>
      <c r="E20" s="160" t="s">
        <v>171</v>
      </c>
      <c r="F20" s="160">
        <v>-64.6</v>
      </c>
      <c r="G20" s="160">
        <v>-43.1</v>
      </c>
      <c r="H20" s="160" t="s">
        <v>172</v>
      </c>
    </row>
    <row r="21" spans="2:7">
      <c r="B21" s="168" t="s">
        <v>173</v>
      </c>
      <c r="C21" s="168">
        <v>122</v>
      </c>
      <c r="E21" s="160" t="s">
        <v>174</v>
      </c>
      <c r="F21" s="160">
        <v>-64.9</v>
      </c>
      <c r="G21" s="160">
        <v>-41.2</v>
      </c>
    </row>
    <row r="22" spans="2:7">
      <c r="B22" s="168" t="s">
        <v>175</v>
      </c>
      <c r="C22" s="168">
        <v>251</v>
      </c>
      <c r="E22" s="160" t="s">
        <v>176</v>
      </c>
      <c r="F22" s="160">
        <v>-59.5</v>
      </c>
      <c r="G22" s="160">
        <v>-42.3</v>
      </c>
    </row>
    <row r="23" spans="2:7">
      <c r="B23" s="168" t="s">
        <v>177</v>
      </c>
      <c r="C23" s="168">
        <v>265</v>
      </c>
      <c r="E23" s="160" t="s">
        <v>178</v>
      </c>
      <c r="F23" s="160">
        <v>-59.6</v>
      </c>
      <c r="G23" s="160">
        <v>-43</v>
      </c>
    </row>
    <row r="24" spans="3:3">
      <c r="C24" s="169"/>
    </row>
    <row r="25" ht="26.5" customHeight="1" spans="1:8">
      <c r="A25" s="171" t="s">
        <v>179</v>
      </c>
      <c r="B25" s="168" t="s">
        <v>180</v>
      </c>
      <c r="C25" s="168">
        <v>70.48</v>
      </c>
      <c r="E25" s="160">
        <v>8.1</v>
      </c>
      <c r="F25" s="160">
        <v>-61.76</v>
      </c>
      <c r="G25" s="160">
        <v>-39</v>
      </c>
      <c r="H25" s="160" t="s">
        <v>181</v>
      </c>
    </row>
    <row r="26" spans="1:7">
      <c r="A26" s="160" t="s">
        <v>182</v>
      </c>
      <c r="B26" s="172" t="s">
        <v>183</v>
      </c>
      <c r="C26" s="172">
        <v>226.15</v>
      </c>
      <c r="E26" s="160">
        <v>13.51</v>
      </c>
      <c r="F26" s="160">
        <v>-71.43</v>
      </c>
      <c r="G26" s="160">
        <v>-43.65</v>
      </c>
    </row>
    <row r="27" spans="2:7">
      <c r="B27" s="160" t="s">
        <v>184</v>
      </c>
      <c r="C27" s="160">
        <v>151.28</v>
      </c>
      <c r="E27" s="160">
        <v>12.55</v>
      </c>
      <c r="F27" s="160">
        <v>-67.64</v>
      </c>
      <c r="G27" s="160">
        <v>-33.93</v>
      </c>
    </row>
    <row r="29" spans="1:8">
      <c r="A29" s="160" t="s">
        <v>185</v>
      </c>
      <c r="B29" s="166" t="s">
        <v>159</v>
      </c>
      <c r="C29" s="166">
        <v>238</v>
      </c>
      <c r="E29" s="160" t="s">
        <v>186</v>
      </c>
      <c r="F29" s="160">
        <v>-75</v>
      </c>
      <c r="G29" s="160">
        <v>-51.5</v>
      </c>
      <c r="H29" s="160" t="s">
        <v>187</v>
      </c>
    </row>
    <row r="30" spans="2:7">
      <c r="B30" s="160" t="s">
        <v>188</v>
      </c>
      <c r="C30" s="160">
        <v>84</v>
      </c>
      <c r="E30" s="160" t="s">
        <v>171</v>
      </c>
      <c r="F30" s="160">
        <v>-70</v>
      </c>
      <c r="G30" s="160">
        <v>-41.6</v>
      </c>
    </row>
    <row r="32" ht="25" customHeight="1" spans="1:8">
      <c r="A32" s="171" t="s">
        <v>189</v>
      </c>
      <c r="B32" s="160" t="s">
        <v>190</v>
      </c>
      <c r="C32" s="160">
        <v>407</v>
      </c>
      <c r="F32" s="160">
        <v>-68.8</v>
      </c>
      <c r="G32" s="160">
        <v>-39</v>
      </c>
      <c r="H32" s="160" t="s">
        <v>191</v>
      </c>
    </row>
    <row r="33" spans="2:7">
      <c r="B33" s="167" t="s">
        <v>192</v>
      </c>
      <c r="C33" s="167">
        <v>474</v>
      </c>
      <c r="F33" s="160">
        <v>-72.2</v>
      </c>
      <c r="G33" s="160">
        <v>-36.6</v>
      </c>
    </row>
    <row r="35" ht="37.5" customHeight="1" spans="1:8">
      <c r="A35" s="171" t="s">
        <v>193</v>
      </c>
      <c r="B35" s="167" t="s">
        <v>194</v>
      </c>
      <c r="C35" s="167">
        <v>70.6</v>
      </c>
      <c r="E35" s="160">
        <v>2.8</v>
      </c>
      <c r="H35" s="160" t="s">
        <v>195</v>
      </c>
    </row>
    <row r="37" spans="1:6">
      <c r="A37" s="160" t="s">
        <v>196</v>
      </c>
      <c r="B37" s="166" t="s">
        <v>197</v>
      </c>
      <c r="C37" s="166">
        <v>133</v>
      </c>
      <c r="E37" s="160">
        <v>17</v>
      </c>
      <c r="F37" s="160">
        <v>-66</v>
      </c>
    </row>
    <row r="38" spans="2:6">
      <c r="B38" s="167" t="s">
        <v>198</v>
      </c>
      <c r="C38" s="167">
        <v>55</v>
      </c>
      <c r="E38" s="160">
        <v>8.8</v>
      </c>
      <c r="F38" s="160">
        <v>-64</v>
      </c>
    </row>
    <row r="39" spans="2:6">
      <c r="B39" s="168" t="s">
        <v>199</v>
      </c>
      <c r="C39" s="168">
        <v>82</v>
      </c>
      <c r="E39" s="160">
        <v>16.4</v>
      </c>
      <c r="F39" s="160">
        <v>-59</v>
      </c>
    </row>
    <row r="41" spans="2:7">
      <c r="B41" s="161"/>
      <c r="C41" s="161"/>
      <c r="D41" s="161"/>
      <c r="E41" s="161"/>
      <c r="F41" s="161"/>
      <c r="G41" s="161"/>
    </row>
    <row r="42" spans="1:7">
      <c r="A42" s="160" t="s">
        <v>200</v>
      </c>
      <c r="B42" s="166" t="s">
        <v>201</v>
      </c>
      <c r="C42" s="166"/>
      <c r="G42" s="160" t="s">
        <v>202</v>
      </c>
    </row>
    <row r="43" spans="2:7">
      <c r="B43" s="166" t="s">
        <v>203</v>
      </c>
      <c r="C43" s="166"/>
      <c r="G43" s="160" t="s">
        <v>204</v>
      </c>
    </row>
    <row r="44" spans="2:7">
      <c r="B44" s="166" t="s">
        <v>205</v>
      </c>
      <c r="C44" s="166"/>
      <c r="G44" s="160" t="s">
        <v>206</v>
      </c>
    </row>
    <row r="45" spans="2:7">
      <c r="B45" s="166" t="s">
        <v>207</v>
      </c>
      <c r="C45" s="166"/>
      <c r="G45" s="160" t="s">
        <v>208</v>
      </c>
    </row>
    <row r="48" spans="1:7">
      <c r="A48" s="160" t="s">
        <v>209</v>
      </c>
      <c r="B48" s="168" t="s">
        <v>210</v>
      </c>
      <c r="C48" s="168">
        <v>195.3</v>
      </c>
      <c r="F48" s="160">
        <v>-63.6</v>
      </c>
      <c r="G48" s="160">
        <v>-45.2</v>
      </c>
    </row>
    <row r="49" spans="1:7">
      <c r="A49" s="160" t="s">
        <v>211</v>
      </c>
      <c r="B49" s="168" t="s">
        <v>212</v>
      </c>
      <c r="C49" s="168">
        <v>282.3</v>
      </c>
      <c r="F49" s="160">
        <v>-63.3</v>
      </c>
      <c r="G49" s="160">
        <v>-52.7</v>
      </c>
    </row>
    <row r="50" spans="2:7">
      <c r="B50" s="168" t="s">
        <v>213</v>
      </c>
      <c r="C50" s="168">
        <v>83.2</v>
      </c>
      <c r="F50" s="160">
        <v>-63.9</v>
      </c>
      <c r="G50" s="160">
        <v>-46.3</v>
      </c>
    </row>
    <row r="53" spans="1:7">
      <c r="A53" s="160" t="s">
        <v>214</v>
      </c>
      <c r="B53" s="168" t="s">
        <v>215</v>
      </c>
      <c r="C53" s="168">
        <v>126.1</v>
      </c>
      <c r="E53" s="160">
        <v>9.1</v>
      </c>
      <c r="F53" s="160">
        <v>-66.3</v>
      </c>
      <c r="G53" s="160">
        <v>-42.2</v>
      </c>
    </row>
    <row r="54" spans="1:7">
      <c r="A54" s="160" t="s">
        <v>216</v>
      </c>
      <c r="B54" s="168" t="s">
        <v>217</v>
      </c>
      <c r="C54" s="168">
        <v>141.8</v>
      </c>
      <c r="E54" s="160">
        <v>9.1</v>
      </c>
      <c r="F54" s="160">
        <v>-66.6</v>
      </c>
      <c r="G54" s="160">
        <v>-48.2</v>
      </c>
    </row>
    <row r="55" spans="2:7">
      <c r="B55" s="167" t="s">
        <v>218</v>
      </c>
      <c r="C55" s="167">
        <v>84.5</v>
      </c>
      <c r="E55" s="160">
        <v>3.9</v>
      </c>
      <c r="F55" s="160">
        <v>-68.1</v>
      </c>
      <c r="G55" s="160">
        <v>-44.1</v>
      </c>
    </row>
    <row r="56" spans="2:7">
      <c r="B56" s="167" t="s">
        <v>219</v>
      </c>
      <c r="C56" s="167">
        <v>95.8</v>
      </c>
      <c r="E56" s="160">
        <v>4.9</v>
      </c>
      <c r="F56" s="160">
        <v>-68</v>
      </c>
      <c r="G56" s="160">
        <v>-47.1</v>
      </c>
    </row>
    <row r="57" spans="2:7">
      <c r="B57" s="160" t="s">
        <v>220</v>
      </c>
      <c r="C57" s="160">
        <v>131.6</v>
      </c>
      <c r="E57" s="160">
        <v>5.8</v>
      </c>
      <c r="F57" s="160">
        <v>-66.5</v>
      </c>
      <c r="G57" s="160">
        <v>-44.2</v>
      </c>
    </row>
    <row r="58" spans="2:7">
      <c r="B58" s="160" t="s">
        <v>221</v>
      </c>
      <c r="C58" s="160">
        <v>131.2</v>
      </c>
      <c r="E58" s="160">
        <v>4.2</v>
      </c>
      <c r="F58" s="160">
        <v>-77.4</v>
      </c>
      <c r="G58" s="160">
        <v>-46.4</v>
      </c>
    </row>
    <row r="59" spans="2:7">
      <c r="B59" s="160" t="s">
        <v>222</v>
      </c>
      <c r="C59" s="160">
        <v>76.7</v>
      </c>
      <c r="E59" s="160">
        <v>4.6</v>
      </c>
      <c r="F59" s="160">
        <v>-67.6</v>
      </c>
      <c r="G59" s="160">
        <v>-41.9</v>
      </c>
    </row>
    <row r="61" spans="2:7">
      <c r="B61" s="160" t="s">
        <v>137</v>
      </c>
      <c r="C61" s="160" t="s">
        <v>138</v>
      </c>
      <c r="D61" s="160" t="s">
        <v>139</v>
      </c>
      <c r="E61" s="160" t="s">
        <v>140</v>
      </c>
      <c r="F61" s="160" t="s">
        <v>141</v>
      </c>
      <c r="G61" s="160" t="s">
        <v>142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zoomScale="145" zoomScaleNormal="145" workbookViewId="0">
      <selection activeCell="E9" sqref="E9"/>
    </sheetView>
  </sheetViews>
  <sheetFormatPr defaultColWidth="9" defaultRowHeight="12.6"/>
  <cols>
    <col min="1" max="1" width="11.1851851851852" style="28" customWidth="1"/>
    <col min="2" max="18" width="8.97222222222222" style="28" customWidth="1"/>
    <col min="19" max="19" width="12.5" style="28" customWidth="1"/>
    <col min="20" max="1025" width="8.5" style="28" customWidth="1"/>
    <col min="1026" max="16384" width="9" style="28"/>
  </cols>
  <sheetData>
    <row r="1" spans="1:8">
      <c r="A1" s="2" t="s">
        <v>223</v>
      </c>
      <c r="H1" s="139"/>
    </row>
    <row r="2" ht="25.2" spans="1:3">
      <c r="A2" s="28" t="s">
        <v>224</v>
      </c>
      <c r="B2" s="30" t="s">
        <v>225</v>
      </c>
      <c r="C2" s="28" t="s">
        <v>226</v>
      </c>
    </row>
    <row r="3" spans="1:3">
      <c r="A3" s="130" t="s">
        <v>227</v>
      </c>
      <c r="B3" s="131">
        <v>2.7</v>
      </c>
      <c r="C3" s="130">
        <v>2.5</v>
      </c>
    </row>
    <row r="4" spans="1:3">
      <c r="A4" s="132" t="s">
        <v>228</v>
      </c>
      <c r="B4" s="133">
        <v>13.8</v>
      </c>
      <c r="C4" s="132">
        <v>14.4</v>
      </c>
    </row>
    <row r="5" spans="1:3">
      <c r="A5" s="134" t="s">
        <v>229</v>
      </c>
      <c r="B5" s="135">
        <v>2.6</v>
      </c>
      <c r="C5" s="134">
        <v>1.3</v>
      </c>
    </row>
    <row r="6" spans="1:4">
      <c r="A6" s="136" t="s">
        <v>6</v>
      </c>
      <c r="B6" s="137">
        <v>14.6</v>
      </c>
      <c r="C6" s="136">
        <v>23</v>
      </c>
      <c r="D6" s="2"/>
    </row>
    <row r="7" spans="1:7">
      <c r="A7" s="130" t="s">
        <v>230</v>
      </c>
      <c r="B7" s="131">
        <v>0.5</v>
      </c>
      <c r="C7" s="130">
        <v>0.7</v>
      </c>
      <c r="G7" s="139"/>
    </row>
    <row r="8" spans="1:3">
      <c r="A8" s="132" t="s">
        <v>231</v>
      </c>
      <c r="B8" s="133">
        <v>10.2</v>
      </c>
      <c r="C8" s="132">
        <v>21.3</v>
      </c>
    </row>
    <row r="9" spans="1:3">
      <c r="A9" s="134" t="s">
        <v>232</v>
      </c>
      <c r="B9" s="135">
        <v>2.6</v>
      </c>
      <c r="C9" s="134">
        <v>3</v>
      </c>
    </row>
    <row r="10" spans="1:3">
      <c r="A10" s="130" t="s">
        <v>233</v>
      </c>
      <c r="B10" s="131">
        <v>6.8</v>
      </c>
      <c r="C10" s="130">
        <v>7.7</v>
      </c>
    </row>
    <row r="11" spans="1:3">
      <c r="A11" s="132" t="s">
        <v>234</v>
      </c>
      <c r="B11" s="133">
        <v>7.5</v>
      </c>
      <c r="C11" s="132">
        <v>20.6</v>
      </c>
    </row>
    <row r="12" spans="1:3">
      <c r="A12" s="134" t="s">
        <v>235</v>
      </c>
      <c r="B12" s="135">
        <v>2.8</v>
      </c>
      <c r="C12" s="134">
        <v>2.8</v>
      </c>
    </row>
    <row r="13" spans="1:3">
      <c r="A13" s="130" t="s">
        <v>236</v>
      </c>
      <c r="B13" s="131">
        <v>6.1</v>
      </c>
      <c r="C13" s="130">
        <v>7.8</v>
      </c>
    </row>
    <row r="14" spans="1:3">
      <c r="A14" s="132" t="s">
        <v>237</v>
      </c>
      <c r="B14" s="133">
        <v>16.9</v>
      </c>
      <c r="C14" s="132">
        <v>24.3</v>
      </c>
    </row>
    <row r="15" spans="1:3">
      <c r="A15" s="134" t="s">
        <v>238</v>
      </c>
      <c r="B15" s="135">
        <v>3.9</v>
      </c>
      <c r="C15" s="134">
        <v>6.1</v>
      </c>
    </row>
    <row r="17" spans="1:4">
      <c r="A17" s="28" t="s">
        <v>224</v>
      </c>
      <c r="B17" s="28" t="s">
        <v>239</v>
      </c>
      <c r="C17" s="28" t="s">
        <v>240</v>
      </c>
      <c r="D17" s="28" t="s">
        <v>241</v>
      </c>
    </row>
    <row r="18" spans="1:1">
      <c r="A18" s="28" t="s">
        <v>242</v>
      </c>
    </row>
    <row r="19" spans="1:5">
      <c r="A19" s="28" t="s">
        <v>229</v>
      </c>
      <c r="B19" s="28" t="s">
        <v>243</v>
      </c>
      <c r="C19" s="135" t="s">
        <v>244</v>
      </c>
      <c r="D19" s="28" t="s">
        <v>245</v>
      </c>
      <c r="E19" s="148"/>
    </row>
    <row r="20" spans="1:5">
      <c r="A20" s="28" t="s">
        <v>228</v>
      </c>
      <c r="B20" s="28" t="s">
        <v>246</v>
      </c>
      <c r="C20" s="133" t="s">
        <v>247</v>
      </c>
      <c r="D20" s="28" t="s">
        <v>248</v>
      </c>
      <c r="E20" s="148"/>
    </row>
    <row r="21" spans="1:5">
      <c r="A21" s="28" t="s">
        <v>249</v>
      </c>
      <c r="B21" s="28" t="s">
        <v>250</v>
      </c>
      <c r="C21" s="137" t="s">
        <v>251</v>
      </c>
      <c r="D21" s="28" t="s">
        <v>252</v>
      </c>
      <c r="E21" s="148"/>
    </row>
    <row r="22" ht="17" customHeight="1" spans="1:6">
      <c r="A22" s="28" t="s">
        <v>253</v>
      </c>
      <c r="B22" s="28" t="s">
        <v>254</v>
      </c>
      <c r="C22" s="138" t="s">
        <v>255</v>
      </c>
      <c r="D22" s="28" t="s">
        <v>256</v>
      </c>
      <c r="E22" s="149"/>
      <c r="F22" s="30"/>
    </row>
    <row r="23" spans="1:1">
      <c r="A23" s="139" t="s">
        <v>257</v>
      </c>
    </row>
    <row r="24" spans="1:5">
      <c r="A24" s="139" t="s">
        <v>25</v>
      </c>
      <c r="C24" s="131">
        <v>0.31</v>
      </c>
      <c r="E24" s="148"/>
    </row>
    <row r="25" spans="1:5">
      <c r="A25" s="139" t="s">
        <v>10</v>
      </c>
      <c r="C25" s="131">
        <v>1.93</v>
      </c>
      <c r="E25" s="148"/>
    </row>
    <row r="26" spans="1:5">
      <c r="A26" s="139" t="s">
        <v>258</v>
      </c>
      <c r="C26" s="131">
        <v>1.62</v>
      </c>
      <c r="E26" s="148"/>
    </row>
    <row r="27" spans="1:5">
      <c r="A27" s="139" t="s">
        <v>259</v>
      </c>
      <c r="C27" s="131">
        <v>4.12</v>
      </c>
      <c r="E27" s="148"/>
    </row>
    <row r="28" spans="1:5">
      <c r="A28" s="139" t="s">
        <v>12</v>
      </c>
      <c r="C28" s="131">
        <v>0.52</v>
      </c>
      <c r="E28" s="148"/>
    </row>
    <row r="30" customFormat="1"/>
    <row r="31" customFormat="1"/>
    <row r="33" ht="27" customHeight="1" spans="1:2">
      <c r="A33" s="140" t="s">
        <v>260</v>
      </c>
      <c r="B33" s="141" t="s">
        <v>261</v>
      </c>
    </row>
    <row r="34" spans="1:1">
      <c r="A34" s="142" t="s">
        <v>262</v>
      </c>
    </row>
    <row r="35" spans="1:5">
      <c r="A35" s="143"/>
      <c r="B35" s="143" t="s">
        <v>25</v>
      </c>
      <c r="C35" s="143" t="s">
        <v>10</v>
      </c>
      <c r="D35" s="143" t="s">
        <v>11</v>
      </c>
      <c r="E35" s="143" t="s">
        <v>12</v>
      </c>
    </row>
    <row r="36" spans="1:14">
      <c r="A36" s="143" t="s">
        <v>25</v>
      </c>
      <c r="B36" s="144">
        <f>(SUMPRODUCT(B50:C51,B66:C67)/SUM(B66:C67))</f>
        <v>0.700092592592593</v>
      </c>
      <c r="C36" s="144">
        <f>(SUMPRODUCT(D50:D51,D66:D67)/SUM(D66:D67))</f>
        <v>0.78</v>
      </c>
      <c r="D36" s="144">
        <f>(SUMPRODUCT(E50:F51,E66:F67)/SUM(E66:F67))</f>
        <v>0.467333333333333</v>
      </c>
      <c r="E36" s="145">
        <f>AVERAGE(E38:E39)</f>
        <v>0.378333333333334</v>
      </c>
      <c r="G36" s="150"/>
      <c r="H36" s="150"/>
      <c r="I36" s="150"/>
      <c r="J36" s="150"/>
      <c r="L36" s="150"/>
      <c r="M36" s="150"/>
      <c r="N36" s="150"/>
    </row>
    <row r="37" spans="1:14">
      <c r="A37" s="143" t="s">
        <v>10</v>
      </c>
      <c r="B37" s="144">
        <f t="shared" ref="B37:B39" si="0">SUMPRODUCT(B52:C52,B68:C68)/SUM(B68:C68)</f>
        <v>0.343333333333333</v>
      </c>
      <c r="C37" s="144">
        <f>D52</f>
        <v>0.95</v>
      </c>
      <c r="D37" s="144">
        <f>SUMPRODUCT(E52:F52,E68:F68)/SUM(E68:F68)</f>
        <v>0.376666666666667</v>
      </c>
      <c r="E37" s="145">
        <f>AVERAGE(E38:E39)</f>
        <v>0.378333333333334</v>
      </c>
      <c r="G37" s="150"/>
      <c r="H37" s="150"/>
      <c r="I37" s="150"/>
      <c r="J37" s="150"/>
      <c r="L37" s="150"/>
      <c r="M37" s="150"/>
      <c r="N37" s="150"/>
    </row>
    <row r="38" spans="1:14">
      <c r="A38" s="143" t="s">
        <v>11</v>
      </c>
      <c r="B38" s="144">
        <f>SUMPRODUCT(B53:C54,B69:C70)/SUM(B69:C70)</f>
        <v>0.700555555555555</v>
      </c>
      <c r="C38" s="144">
        <f>SUMPRODUCT(D53:D54,D69:D70)/SUM(D69:D70)</f>
        <v>0.626976744186047</v>
      </c>
      <c r="D38" s="144">
        <f>(SUMPRODUCT(E53:F54,E69:F70)/SUM(E69:F70))</f>
        <v>0.676255319148936</v>
      </c>
      <c r="E38" s="144">
        <f>(SUMPRODUCT(G53:G54,G69:G70)/SUM(G69:G70))</f>
        <v>0.226666666666667</v>
      </c>
      <c r="F38" s="28" t="s">
        <v>263</v>
      </c>
      <c r="G38" s="150"/>
      <c r="H38" s="150"/>
      <c r="I38" s="150"/>
      <c r="J38" s="150"/>
      <c r="L38" s="150"/>
      <c r="M38" s="150"/>
      <c r="N38" s="150"/>
    </row>
    <row r="39" spans="1:14">
      <c r="A39" s="143" t="s">
        <v>12</v>
      </c>
      <c r="B39" s="145">
        <f>AVERAGE(B36:B38)</f>
        <v>0.581327160493827</v>
      </c>
      <c r="C39" s="145">
        <f>AVERAGE(C36:C38)</f>
        <v>0.785658914728682</v>
      </c>
      <c r="D39" s="144">
        <f>(SUMPRODUCT(E55:F55,E71:F71)/SUM(E71:F71))</f>
        <v>0.4025</v>
      </c>
      <c r="E39" s="144">
        <f>G55</f>
        <v>0.53</v>
      </c>
      <c r="F39" s="150">
        <f>AVERAGE(B36:D38,E38,C39:E39)</f>
        <v>0.582003009708601</v>
      </c>
      <c r="G39" s="150"/>
      <c r="H39" s="150"/>
      <c r="I39" s="150"/>
      <c r="J39" s="150"/>
      <c r="L39" s="150"/>
      <c r="M39" s="150"/>
      <c r="N39" s="150"/>
    </row>
    <row r="40" spans="2:12">
      <c r="B40" s="146"/>
      <c r="C40" s="146"/>
      <c r="D40" s="146"/>
      <c r="E40" s="146"/>
      <c r="L40" s="150"/>
    </row>
    <row r="41" spans="1:12">
      <c r="A41" s="2" t="s">
        <v>264</v>
      </c>
      <c r="G41" s="142" t="s">
        <v>265</v>
      </c>
      <c r="L41" s="150"/>
    </row>
    <row r="42" spans="2:12">
      <c r="B42" s="28" t="s">
        <v>25</v>
      </c>
      <c r="C42" s="28" t="s">
        <v>10</v>
      </c>
      <c r="D42" s="28" t="s">
        <v>11</v>
      </c>
      <c r="E42" s="28" t="s">
        <v>12</v>
      </c>
      <c r="G42" s="28" t="s">
        <v>25</v>
      </c>
      <c r="H42" s="28" t="s">
        <v>10</v>
      </c>
      <c r="I42" s="28" t="s">
        <v>11</v>
      </c>
      <c r="J42" s="28" t="s">
        <v>12</v>
      </c>
      <c r="L42" s="150"/>
    </row>
    <row r="43" spans="1:12">
      <c r="A43" s="28" t="s">
        <v>25</v>
      </c>
      <c r="B43" s="146">
        <f>SQRT(SUMPRODUCT(B58:C59,B74:C75)/SUM(B74:C75))</f>
        <v>0.627113784024245</v>
      </c>
      <c r="C43" s="146">
        <f>SQRT(SUMPRODUCT(D58:D59,D74:D75)/SUM(D74:D75))</f>
        <v>0.965012953280939</v>
      </c>
      <c r="D43" s="146">
        <f>SQRT((E58*E74+F59*F75)/(E74+F75))</f>
        <v>0.354288018425687</v>
      </c>
      <c r="E43" s="146">
        <v>0</v>
      </c>
      <c r="G43" s="150">
        <f>B43/B36</f>
        <v>0.895758347766412</v>
      </c>
      <c r="H43" s="150">
        <f>C43/C36</f>
        <v>1.23719609394992</v>
      </c>
      <c r="I43" s="150">
        <f>D43/D36</f>
        <v>0.758105602908033</v>
      </c>
      <c r="J43" s="151">
        <f>J46</f>
        <v>1.38842799203662</v>
      </c>
      <c r="L43" s="150"/>
    </row>
    <row r="44" spans="1:12">
      <c r="A44" s="28" t="s">
        <v>10</v>
      </c>
      <c r="B44" s="146">
        <f>SQRT(C60)</f>
        <v>0.18</v>
      </c>
      <c r="C44" s="146">
        <f>SQRT(D60)</f>
        <v>1.27499019604074</v>
      </c>
      <c r="D44" s="146">
        <v>0</v>
      </c>
      <c r="E44" s="146">
        <v>0</v>
      </c>
      <c r="G44" s="150">
        <f>B44/B37</f>
        <v>0.524271844660195</v>
      </c>
      <c r="H44" s="150">
        <f>C44/C37</f>
        <v>1.34209494320078</v>
      </c>
      <c r="I44" s="151">
        <f>AVERAGE(I43,I45,I46)</f>
        <v>0.956619127770429</v>
      </c>
      <c r="J44" s="151">
        <f>J46</f>
        <v>1.38842799203662</v>
      </c>
      <c r="L44" s="150"/>
    </row>
    <row r="45" spans="1:12">
      <c r="A45" s="28" t="s">
        <v>11</v>
      </c>
      <c r="B45" s="146">
        <f>SQRT(SUMPRODUCT(B61:C62,B77:C78)/SUM(B77:C78))</f>
        <v>0.736955900987298</v>
      </c>
      <c r="C45" s="146">
        <f>SQRT(SUMPRODUCT(D61:D62,D77:D78)/SUM(D77:D78))</f>
        <v>0.603045118240871</v>
      </c>
      <c r="D45" s="146">
        <f>(SUMPRODUCT(E61:F62,E77:F78)/SUM(E77:F78))</f>
        <v>0.837114285714286</v>
      </c>
      <c r="E45" s="146">
        <v>0</v>
      </c>
      <c r="F45" s="28" t="s">
        <v>263</v>
      </c>
      <c r="G45" s="150">
        <f>B45/B38</f>
        <v>1.05195925596918</v>
      </c>
      <c r="H45" s="150">
        <f>C45/C38</f>
        <v>0.961830121823347</v>
      </c>
      <c r="I45" s="150">
        <f>D45/D38</f>
        <v>1.23786721081587</v>
      </c>
      <c r="J45" s="151">
        <f>J46</f>
        <v>1.38842799203662</v>
      </c>
      <c r="L45" s="150"/>
    </row>
    <row r="46" spans="1:12">
      <c r="A46" s="28" t="s">
        <v>12</v>
      </c>
      <c r="B46" s="146">
        <v>0</v>
      </c>
      <c r="C46" s="147">
        <f>AVERAGE(C43:C45)</f>
        <v>0.947682755854183</v>
      </c>
      <c r="D46" s="146">
        <f>SQRT(SUMPRODUCT(E63:F63,E79:F79)/SUM(E79:F79))</f>
        <v>0.351738539258922</v>
      </c>
      <c r="E46" s="146">
        <f>SQRT(G63)</f>
        <v>0.735866835779409</v>
      </c>
      <c r="F46" s="28">
        <f>AVERAGEIF(B43:E46,"&gt;0")</f>
        <v>0.692164398873325</v>
      </c>
      <c r="G46" s="151">
        <f>AVERAGE(G43:G45)</f>
        <v>0.823996482798596</v>
      </c>
      <c r="H46" s="151">
        <f>C46/C39</f>
        <v>1.2062266946738</v>
      </c>
      <c r="I46" s="150">
        <f>D46/D39</f>
        <v>0.873884569587384</v>
      </c>
      <c r="J46" s="150">
        <f>E46/E39</f>
        <v>1.38842799203662</v>
      </c>
      <c r="L46" s="150"/>
    </row>
    <row r="47" spans="2:12">
      <c r="B47" s="146"/>
      <c r="C47" s="146"/>
      <c r="D47" s="146"/>
      <c r="E47" s="146"/>
      <c r="L47" s="150"/>
    </row>
    <row r="48" spans="1:12">
      <c r="A48" s="28" t="s">
        <v>266</v>
      </c>
      <c r="L48" s="150"/>
    </row>
    <row r="49" spans="1:7">
      <c r="A49" s="2" t="s">
        <v>267</v>
      </c>
      <c r="B49" s="28" t="s">
        <v>268</v>
      </c>
      <c r="C49" s="28" t="s">
        <v>269</v>
      </c>
      <c r="D49" s="28" t="s">
        <v>10</v>
      </c>
      <c r="E49" s="28" t="s">
        <v>270</v>
      </c>
      <c r="F49" s="28" t="s">
        <v>271</v>
      </c>
      <c r="G49" s="28" t="s">
        <v>12</v>
      </c>
    </row>
    <row r="50" spans="1:7">
      <c r="A50" s="28" t="s">
        <v>268</v>
      </c>
      <c r="B50" s="28">
        <v>0.64</v>
      </c>
      <c r="C50" s="28">
        <v>0.71</v>
      </c>
      <c r="D50" s="28">
        <v>0.98</v>
      </c>
      <c r="E50" s="28">
        <v>0.52</v>
      </c>
      <c r="F50" s="28">
        <v>0.21</v>
      </c>
      <c r="G50" s="28">
        <v>0</v>
      </c>
    </row>
    <row r="51" spans="1:7">
      <c r="A51" s="28" t="s">
        <v>269</v>
      </c>
      <c r="B51" s="28">
        <v>0.44</v>
      </c>
      <c r="C51" s="28">
        <v>0.78</v>
      </c>
      <c r="D51" s="28">
        <v>0.58</v>
      </c>
      <c r="E51" s="28">
        <v>0.67</v>
      </c>
      <c r="F51" s="28">
        <v>0.26</v>
      </c>
      <c r="G51" s="28">
        <v>0</v>
      </c>
    </row>
    <row r="52" spans="1:7">
      <c r="A52" s="28" t="s">
        <v>10</v>
      </c>
      <c r="B52" s="28">
        <v>0.31</v>
      </c>
      <c r="C52" s="28">
        <v>0.36</v>
      </c>
      <c r="D52" s="28">
        <v>0.95</v>
      </c>
      <c r="E52" s="28">
        <v>0.48</v>
      </c>
      <c r="F52" s="28">
        <v>0.17</v>
      </c>
      <c r="G52" s="28">
        <v>0</v>
      </c>
    </row>
    <row r="53" spans="1:7">
      <c r="A53" s="28" t="s">
        <v>270</v>
      </c>
      <c r="B53" s="28">
        <v>0.55</v>
      </c>
      <c r="C53" s="28">
        <v>0.93</v>
      </c>
      <c r="D53" s="28">
        <v>0.54</v>
      </c>
      <c r="E53" s="28">
        <v>0.66</v>
      </c>
      <c r="F53" s="28">
        <v>0.24</v>
      </c>
      <c r="G53" s="28">
        <v>0.08</v>
      </c>
    </row>
    <row r="54" spans="1:7">
      <c r="A54" s="28" t="s">
        <v>271</v>
      </c>
      <c r="B54" s="28">
        <v>0.22</v>
      </c>
      <c r="C54" s="28">
        <v>1.01</v>
      </c>
      <c r="D54" s="28">
        <v>0.88</v>
      </c>
      <c r="E54" s="28">
        <v>0.88</v>
      </c>
      <c r="F54" s="28">
        <v>0.71</v>
      </c>
      <c r="G54" s="28">
        <v>0.3</v>
      </c>
    </row>
    <row r="55" spans="1:7">
      <c r="A55" s="28" t="s">
        <v>12</v>
      </c>
      <c r="B55" s="28">
        <v>0</v>
      </c>
      <c r="C55" s="28">
        <v>0</v>
      </c>
      <c r="D55" s="28">
        <v>2.27</v>
      </c>
      <c r="E55" s="28">
        <v>0.28</v>
      </c>
      <c r="F55" s="28">
        <v>0.49</v>
      </c>
      <c r="G55" s="28">
        <v>0.53</v>
      </c>
    </row>
    <row r="57" spans="1:9">
      <c r="A57" s="2" t="s">
        <v>272</v>
      </c>
      <c r="B57" s="28" t="s">
        <v>268</v>
      </c>
      <c r="C57" s="28" t="s">
        <v>269</v>
      </c>
      <c r="D57" s="28" t="s">
        <v>10</v>
      </c>
      <c r="E57" s="28" t="s">
        <v>270</v>
      </c>
      <c r="F57" s="28" t="s">
        <v>271</v>
      </c>
      <c r="G57" s="28" t="s">
        <v>12</v>
      </c>
      <c r="I57" s="2" t="s">
        <v>273</v>
      </c>
    </row>
    <row r="58" spans="1:14">
      <c r="A58" s="28" t="s">
        <v>268</v>
      </c>
      <c r="B58" s="28">
        <f t="shared" ref="B58:G58" si="1">(I58^2)*B66</f>
        <v>0.3168</v>
      </c>
      <c r="C58" s="28">
        <f t="shared" si="1"/>
        <v>0.495</v>
      </c>
      <c r="D58" s="28">
        <f t="shared" si="1"/>
        <v>1.44</v>
      </c>
      <c r="E58" s="28">
        <f t="shared" si="1"/>
        <v>0.1521</v>
      </c>
      <c r="F58" s="28">
        <f t="shared" si="1"/>
        <v>0</v>
      </c>
      <c r="G58" s="28">
        <f t="shared" si="1"/>
        <v>0</v>
      </c>
      <c r="I58" s="28">
        <v>0.06</v>
      </c>
      <c r="J58" s="28">
        <v>0.15</v>
      </c>
      <c r="K58" s="28">
        <v>0.24</v>
      </c>
      <c r="L58" s="28">
        <v>0.13</v>
      </c>
      <c r="M58" s="28">
        <v>0</v>
      </c>
      <c r="N58" s="28">
        <v>0</v>
      </c>
    </row>
    <row r="59" spans="1:14">
      <c r="A59" s="28" t="s">
        <v>269</v>
      </c>
      <c r="B59" s="28">
        <f t="shared" ref="B59:G59" si="2">(I59^2)*B67</f>
        <v>0.081</v>
      </c>
      <c r="C59" s="28">
        <f t="shared" si="2"/>
        <v>0.4704</v>
      </c>
      <c r="D59" s="28">
        <f t="shared" si="2"/>
        <v>0.4225</v>
      </c>
      <c r="E59" s="28">
        <f t="shared" si="2"/>
        <v>0</v>
      </c>
      <c r="F59" s="28">
        <f t="shared" si="2"/>
        <v>0.0192</v>
      </c>
      <c r="G59" s="28">
        <f t="shared" si="2"/>
        <v>0</v>
      </c>
      <c r="I59" s="28">
        <v>0.09</v>
      </c>
      <c r="J59" s="28">
        <v>0.07</v>
      </c>
      <c r="K59" s="28">
        <v>0.13</v>
      </c>
      <c r="L59" s="28">
        <v>0</v>
      </c>
      <c r="M59" s="28">
        <v>0.08</v>
      </c>
      <c r="N59" s="28">
        <v>0</v>
      </c>
    </row>
    <row r="60" spans="1:14">
      <c r="A60" s="28" t="s">
        <v>10</v>
      </c>
      <c r="B60" s="28">
        <f t="shared" ref="B60:G60" si="3">(I60^2)*B68</f>
        <v>0</v>
      </c>
      <c r="C60" s="28">
        <f t="shared" si="3"/>
        <v>0.0324</v>
      </c>
      <c r="D60" s="28">
        <f t="shared" si="3"/>
        <v>1.6256</v>
      </c>
      <c r="E60" s="28">
        <f t="shared" si="3"/>
        <v>0</v>
      </c>
      <c r="F60" s="28">
        <f t="shared" si="3"/>
        <v>0</v>
      </c>
      <c r="G60" s="28">
        <f t="shared" si="3"/>
        <v>0</v>
      </c>
      <c r="I60" s="28">
        <v>0</v>
      </c>
      <c r="J60" s="28">
        <v>0.09</v>
      </c>
      <c r="K60" s="28">
        <v>0.08</v>
      </c>
      <c r="L60" s="28">
        <v>0</v>
      </c>
      <c r="M60" s="28">
        <v>0</v>
      </c>
      <c r="N60" s="28">
        <v>0</v>
      </c>
    </row>
    <row r="61" spans="1:14">
      <c r="A61" s="28" t="s">
        <v>270</v>
      </c>
      <c r="B61" s="28">
        <f t="shared" ref="B61:G61" si="4">(I61^2)*B69</f>
        <v>0.2</v>
      </c>
      <c r="C61" s="28">
        <f t="shared" si="4"/>
        <v>0.338</v>
      </c>
      <c r="D61" s="28">
        <f t="shared" si="4"/>
        <v>0.2592</v>
      </c>
      <c r="E61" s="28">
        <f t="shared" si="4"/>
        <v>0.6408</v>
      </c>
      <c r="F61" s="28">
        <f t="shared" si="4"/>
        <v>0.0243</v>
      </c>
      <c r="G61" s="28">
        <f t="shared" si="4"/>
        <v>0</v>
      </c>
      <c r="I61" s="28">
        <v>0.1</v>
      </c>
      <c r="J61" s="28">
        <v>0.26</v>
      </c>
      <c r="K61" s="28">
        <v>0.09</v>
      </c>
      <c r="L61" s="28">
        <v>0.06</v>
      </c>
      <c r="M61" s="28">
        <v>0.09</v>
      </c>
      <c r="N61" s="28">
        <v>0</v>
      </c>
    </row>
    <row r="62" spans="1:14">
      <c r="A62" s="28" t="s">
        <v>271</v>
      </c>
      <c r="B62" s="28">
        <f t="shared" ref="B62:G62" si="5">(I62^2)*B70</f>
        <v>0.0144</v>
      </c>
      <c r="C62" s="28">
        <f t="shared" si="5"/>
        <v>1.152</v>
      </c>
      <c r="D62" s="28">
        <f t="shared" si="5"/>
        <v>0.6875</v>
      </c>
      <c r="E62" s="28">
        <f t="shared" si="5"/>
        <v>1.8144</v>
      </c>
      <c r="F62" s="28">
        <f t="shared" si="5"/>
        <v>1.444</v>
      </c>
      <c r="G62" s="28">
        <f t="shared" si="5"/>
        <v>0</v>
      </c>
      <c r="I62" s="28">
        <v>0.04</v>
      </c>
      <c r="J62" s="28">
        <v>0.24</v>
      </c>
      <c r="K62" s="28">
        <v>0.25</v>
      </c>
      <c r="L62" s="28">
        <v>0.36</v>
      </c>
      <c r="M62" s="28">
        <v>0.19</v>
      </c>
      <c r="N62" s="28">
        <v>0</v>
      </c>
    </row>
    <row r="63" spans="1:14">
      <c r="A63" s="28" t="s">
        <v>12</v>
      </c>
      <c r="B63" s="28">
        <f t="shared" ref="B63:G63" si="6">(I63^2)*B71</f>
        <v>0</v>
      </c>
      <c r="C63" s="28">
        <f t="shared" si="6"/>
        <v>0</v>
      </c>
      <c r="D63" s="28">
        <f t="shared" si="6"/>
        <v>8.8752</v>
      </c>
      <c r="E63" s="28">
        <f t="shared" si="6"/>
        <v>0.0405</v>
      </c>
      <c r="F63" s="28">
        <f t="shared" si="6"/>
        <v>0.1792</v>
      </c>
      <c r="G63" s="28">
        <f t="shared" si="6"/>
        <v>0.5415</v>
      </c>
      <c r="I63" s="28">
        <v>0</v>
      </c>
      <c r="J63" s="28">
        <v>0</v>
      </c>
      <c r="K63" s="28">
        <v>1.72</v>
      </c>
      <c r="L63" s="28">
        <v>0.09</v>
      </c>
      <c r="M63" s="28">
        <v>0.16</v>
      </c>
      <c r="N63" s="28">
        <v>0.19</v>
      </c>
    </row>
    <row r="64" ht="13.35"/>
    <row r="65" ht="13.35" spans="1:7">
      <c r="A65" s="2" t="s">
        <v>274</v>
      </c>
      <c r="B65" s="152" t="s">
        <v>268</v>
      </c>
      <c r="C65" s="153" t="s">
        <v>269</v>
      </c>
      <c r="D65" s="28" t="s">
        <v>10</v>
      </c>
      <c r="E65" s="152" t="s">
        <v>270</v>
      </c>
      <c r="F65" s="153" t="s">
        <v>271</v>
      </c>
      <c r="G65" s="28" t="s">
        <v>12</v>
      </c>
    </row>
    <row r="66" spans="1:7">
      <c r="A66" s="152" t="s">
        <v>268</v>
      </c>
      <c r="B66" s="152">
        <v>88</v>
      </c>
      <c r="C66" s="153">
        <v>22</v>
      </c>
      <c r="D66" s="154">
        <v>25</v>
      </c>
      <c r="E66" s="152">
        <v>9</v>
      </c>
      <c r="F66" s="153">
        <v>1</v>
      </c>
      <c r="G66" s="153">
        <v>0</v>
      </c>
    </row>
    <row r="67" ht="13.35" spans="1:7">
      <c r="A67" s="155" t="s">
        <v>269</v>
      </c>
      <c r="B67" s="155">
        <v>10</v>
      </c>
      <c r="C67" s="156">
        <v>96</v>
      </c>
      <c r="D67" s="157">
        <v>25</v>
      </c>
      <c r="E67" s="155">
        <v>2</v>
      </c>
      <c r="F67" s="156">
        <v>3</v>
      </c>
      <c r="G67" s="156">
        <v>0</v>
      </c>
    </row>
    <row r="68" ht="13.35" spans="1:7">
      <c r="A68" s="28" t="s">
        <v>10</v>
      </c>
      <c r="B68" s="158">
        <v>2</v>
      </c>
      <c r="C68" s="159">
        <v>4</v>
      </c>
      <c r="D68" s="28">
        <v>254</v>
      </c>
      <c r="E68" s="158">
        <v>2</v>
      </c>
      <c r="F68" s="159">
        <v>1</v>
      </c>
      <c r="G68" s="28">
        <v>0</v>
      </c>
    </row>
    <row r="69" spans="1:7">
      <c r="A69" s="152" t="s">
        <v>270</v>
      </c>
      <c r="B69" s="152">
        <v>20</v>
      </c>
      <c r="C69" s="153">
        <v>5</v>
      </c>
      <c r="D69" s="154">
        <v>32</v>
      </c>
      <c r="E69" s="152">
        <v>178</v>
      </c>
      <c r="F69" s="153">
        <v>3</v>
      </c>
      <c r="G69" s="153">
        <v>1</v>
      </c>
    </row>
    <row r="70" ht="13.35" spans="1:7">
      <c r="A70" s="155" t="s">
        <v>271</v>
      </c>
      <c r="B70" s="155">
        <v>9</v>
      </c>
      <c r="C70" s="156">
        <v>20</v>
      </c>
      <c r="D70" s="157">
        <v>11</v>
      </c>
      <c r="E70" s="155">
        <v>14</v>
      </c>
      <c r="F70" s="156">
        <v>40</v>
      </c>
      <c r="G70" s="156">
        <v>2</v>
      </c>
    </row>
    <row r="71" ht="13.35" spans="1:7">
      <c r="A71" s="28" t="s">
        <v>12</v>
      </c>
      <c r="B71" s="155">
        <v>0</v>
      </c>
      <c r="C71" s="156">
        <v>0</v>
      </c>
      <c r="D71" s="28">
        <v>3</v>
      </c>
      <c r="E71" s="155">
        <v>5</v>
      </c>
      <c r="F71" s="156">
        <v>7</v>
      </c>
      <c r="G71" s="28">
        <v>15</v>
      </c>
    </row>
    <row r="73" spans="1:7">
      <c r="A73" s="2" t="s">
        <v>275</v>
      </c>
      <c r="B73" s="28" t="s">
        <v>268</v>
      </c>
      <c r="C73" s="28" t="s">
        <v>269</v>
      </c>
      <c r="D73" s="28" t="s">
        <v>10</v>
      </c>
      <c r="E73" s="28" t="s">
        <v>270</v>
      </c>
      <c r="F73" s="28" t="s">
        <v>271</v>
      </c>
      <c r="G73" s="28" t="s">
        <v>12</v>
      </c>
    </row>
    <row r="74" spans="1:7">
      <c r="A74" s="28" t="s">
        <v>268</v>
      </c>
      <c r="B74" s="28">
        <f t="shared" ref="B74:G74" si="7">B66-1</f>
        <v>87</v>
      </c>
      <c r="C74" s="28">
        <f t="shared" si="7"/>
        <v>21</v>
      </c>
      <c r="D74" s="28">
        <f t="shared" si="7"/>
        <v>24</v>
      </c>
      <c r="E74" s="28">
        <f t="shared" si="7"/>
        <v>8</v>
      </c>
      <c r="F74" s="28">
        <f t="shared" si="7"/>
        <v>0</v>
      </c>
      <c r="G74" s="28">
        <f t="shared" si="7"/>
        <v>-1</v>
      </c>
    </row>
    <row r="75" spans="1:7">
      <c r="A75" s="28" t="s">
        <v>269</v>
      </c>
      <c r="B75" s="28">
        <f t="shared" ref="B75:G75" si="8">B67-1</f>
        <v>9</v>
      </c>
      <c r="C75" s="28">
        <f t="shared" si="8"/>
        <v>95</v>
      </c>
      <c r="D75" s="28">
        <f t="shared" si="8"/>
        <v>24</v>
      </c>
      <c r="E75" s="28">
        <f t="shared" si="8"/>
        <v>1</v>
      </c>
      <c r="F75" s="28">
        <f t="shared" si="8"/>
        <v>2</v>
      </c>
      <c r="G75" s="28">
        <f t="shared" si="8"/>
        <v>-1</v>
      </c>
    </row>
    <row r="76" spans="1:7">
      <c r="A76" s="28" t="s">
        <v>10</v>
      </c>
      <c r="B76" s="28">
        <f t="shared" ref="B76:G76" si="9">B68-1</f>
        <v>1</v>
      </c>
      <c r="C76" s="28">
        <f t="shared" si="9"/>
        <v>3</v>
      </c>
      <c r="D76" s="28">
        <f t="shared" si="9"/>
        <v>253</v>
      </c>
      <c r="E76" s="28">
        <f t="shared" si="9"/>
        <v>1</v>
      </c>
      <c r="F76" s="28">
        <f t="shared" si="9"/>
        <v>0</v>
      </c>
      <c r="G76" s="28">
        <f t="shared" si="9"/>
        <v>-1</v>
      </c>
    </row>
    <row r="77" spans="1:7">
      <c r="A77" s="28" t="s">
        <v>270</v>
      </c>
      <c r="B77" s="28">
        <f t="shared" ref="B77:G77" si="10">B69-1</f>
        <v>19</v>
      </c>
      <c r="C77" s="28">
        <f t="shared" si="10"/>
        <v>4</v>
      </c>
      <c r="D77" s="28">
        <f t="shared" si="10"/>
        <v>31</v>
      </c>
      <c r="E77" s="28">
        <f t="shared" si="10"/>
        <v>177</v>
      </c>
      <c r="F77" s="28">
        <f t="shared" si="10"/>
        <v>2</v>
      </c>
      <c r="G77" s="28">
        <f t="shared" si="10"/>
        <v>0</v>
      </c>
    </row>
    <row r="78" spans="1:7">
      <c r="A78" s="28" t="s">
        <v>271</v>
      </c>
      <c r="B78" s="28">
        <f t="shared" ref="B78:G78" si="11">B70-1</f>
        <v>8</v>
      </c>
      <c r="C78" s="28">
        <f t="shared" si="11"/>
        <v>19</v>
      </c>
      <c r="D78" s="28">
        <f t="shared" si="11"/>
        <v>10</v>
      </c>
      <c r="E78" s="28">
        <f t="shared" si="11"/>
        <v>13</v>
      </c>
      <c r="F78" s="28">
        <f t="shared" si="11"/>
        <v>39</v>
      </c>
      <c r="G78" s="28">
        <f t="shared" si="11"/>
        <v>1</v>
      </c>
    </row>
    <row r="79" spans="1:7">
      <c r="A79" s="28" t="s">
        <v>12</v>
      </c>
      <c r="B79" s="28">
        <f t="shared" ref="B79:G79" si="12">B71-1</f>
        <v>-1</v>
      </c>
      <c r="C79" s="28">
        <f t="shared" si="12"/>
        <v>-1</v>
      </c>
      <c r="D79" s="28">
        <f t="shared" si="12"/>
        <v>2</v>
      </c>
      <c r="E79" s="28">
        <f t="shared" si="12"/>
        <v>4</v>
      </c>
      <c r="F79" s="28">
        <f t="shared" si="12"/>
        <v>6</v>
      </c>
      <c r="G79" s="2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2.6"/>
  <cols>
    <col min="1" max="1" width="26.1111111111111" style="121" customWidth="1"/>
    <col min="2" max="2" width="14.7777777777778" style="122" customWidth="1"/>
    <col min="3" max="3" width="16.7777777777778" style="122" customWidth="1"/>
    <col min="4" max="4" width="18.4444444444444" style="122" customWidth="1"/>
    <col min="5" max="5" width="15.7777777777778" style="122" customWidth="1"/>
    <col min="6" max="6" width="17.6666666666667" style="122" customWidth="1"/>
    <col min="7" max="7" width="23.4444444444444" style="122" customWidth="1"/>
    <col min="8" max="8" width="19.8981481481481" style="122" customWidth="1"/>
    <col min="9" max="1025" width="8.5" style="122" customWidth="1"/>
    <col min="1026" max="16384" width="9" style="28"/>
  </cols>
  <sheetData>
    <row r="1" s="120" customFormat="1" spans="1:7">
      <c r="A1" s="123" t="s">
        <v>29</v>
      </c>
      <c r="B1" s="120" t="s">
        <v>276</v>
      </c>
      <c r="C1" s="120" t="s">
        <v>277</v>
      </c>
      <c r="D1" s="120" t="s">
        <v>278</v>
      </c>
      <c r="E1" s="120" t="s">
        <v>279</v>
      </c>
      <c r="F1" s="120" t="s">
        <v>280</v>
      </c>
      <c r="G1" s="120" t="s">
        <v>281</v>
      </c>
    </row>
    <row r="2" ht="50.4" spans="1:7">
      <c r="A2" s="121" t="s">
        <v>282</v>
      </c>
      <c r="B2" s="122" t="s">
        <v>283</v>
      </c>
      <c r="C2" s="121" t="s">
        <v>284</v>
      </c>
      <c r="G2" s="122" t="s">
        <v>285</v>
      </c>
    </row>
    <row r="3" ht="50.4" spans="1:7">
      <c r="A3" s="121" t="s">
        <v>286</v>
      </c>
      <c r="B3" s="122" t="s">
        <v>287</v>
      </c>
      <c r="D3" s="122" t="s">
        <v>288</v>
      </c>
      <c r="G3" s="121" t="s">
        <v>289</v>
      </c>
    </row>
    <row r="4" ht="88.2" spans="1:8">
      <c r="A4" s="124" t="s">
        <v>290</v>
      </c>
      <c r="B4" s="122">
        <v>36</v>
      </c>
      <c r="C4" s="123" t="s">
        <v>291</v>
      </c>
      <c r="G4" s="122" t="s">
        <v>292</v>
      </c>
      <c r="H4" s="122" t="s">
        <v>293</v>
      </c>
    </row>
    <row r="5" ht="63" spans="1:7">
      <c r="A5" s="121" t="s">
        <v>294</v>
      </c>
      <c r="B5" s="122">
        <v>35</v>
      </c>
      <c r="C5" s="122" t="s">
        <v>295</v>
      </c>
      <c r="G5" s="121" t="s">
        <v>296</v>
      </c>
    </row>
    <row r="6" ht="50.4" spans="1:7">
      <c r="A6" s="121" t="s">
        <v>297</v>
      </c>
      <c r="B6" s="122" t="s">
        <v>298</v>
      </c>
      <c r="C6" s="121" t="s">
        <v>299</v>
      </c>
      <c r="G6" s="121" t="s">
        <v>300</v>
      </c>
    </row>
    <row r="7" ht="50.4" spans="1:7">
      <c r="A7" s="121" t="s">
        <v>301</v>
      </c>
      <c r="B7" s="122" t="s">
        <v>302</v>
      </c>
      <c r="C7" s="122">
        <v>4.6</v>
      </c>
      <c r="D7" s="122">
        <v>2.5</v>
      </c>
      <c r="G7" s="122" t="s">
        <v>303</v>
      </c>
    </row>
    <row r="8" ht="37.8" spans="1:7">
      <c r="A8" s="121" t="s">
        <v>304</v>
      </c>
      <c r="B8" s="122" t="s">
        <v>305</v>
      </c>
      <c r="D8" s="121" t="s">
        <v>306</v>
      </c>
      <c r="G8" s="122" t="s">
        <v>307</v>
      </c>
    </row>
    <row r="9" ht="50.4" spans="1:7">
      <c r="A9" s="121" t="s">
        <v>308</v>
      </c>
      <c r="B9" s="122" t="s">
        <v>305</v>
      </c>
      <c r="D9" s="121" t="s">
        <v>309</v>
      </c>
      <c r="G9" s="122" t="s">
        <v>310</v>
      </c>
    </row>
    <row r="10" ht="50.4" spans="1:9">
      <c r="A10" s="121" t="s">
        <v>311</v>
      </c>
      <c r="B10" s="122" t="s">
        <v>312</v>
      </c>
      <c r="E10" s="121" t="s">
        <v>313</v>
      </c>
      <c r="G10" s="121" t="s">
        <v>314</v>
      </c>
      <c r="H10" s="121"/>
      <c r="I10" s="120"/>
    </row>
    <row r="11" ht="50.4" spans="1:7">
      <c r="A11" s="124" t="s">
        <v>315</v>
      </c>
      <c r="B11" s="122">
        <v>32</v>
      </c>
      <c r="E11" s="122" t="s">
        <v>316</v>
      </c>
      <c r="G11" s="122" t="s">
        <v>317</v>
      </c>
    </row>
    <row r="12" ht="50.4" spans="1:7">
      <c r="A12" s="121" t="s">
        <v>318</v>
      </c>
      <c r="B12" s="122" t="s">
        <v>319</v>
      </c>
      <c r="E12" s="121" t="s">
        <v>320</v>
      </c>
      <c r="G12" s="122" t="s">
        <v>321</v>
      </c>
    </row>
    <row r="13" ht="50.4" spans="1:7">
      <c r="A13" s="121" t="s">
        <v>322</v>
      </c>
      <c r="B13" s="122" t="s">
        <v>323</v>
      </c>
      <c r="E13" s="121" t="s">
        <v>324</v>
      </c>
      <c r="F13" s="121" t="s">
        <v>325</v>
      </c>
      <c r="G13" s="121" t="s">
        <v>326</v>
      </c>
    </row>
    <row r="14" ht="63" spans="1:7">
      <c r="A14" s="125" t="s">
        <v>327</v>
      </c>
      <c r="B14" s="126">
        <v>32</v>
      </c>
      <c r="C14" s="126"/>
      <c r="D14" s="126"/>
      <c r="E14" s="126"/>
      <c r="F14" s="128" t="s">
        <v>328</v>
      </c>
      <c r="G14" s="129" t="s">
        <v>329</v>
      </c>
    </row>
    <row r="15" spans="3:3">
      <c r="C15" s="123"/>
    </row>
    <row r="16" spans="3:3">
      <c r="C16" s="123"/>
    </row>
    <row r="17" spans="3:3">
      <c r="C17" s="123"/>
    </row>
    <row r="18" spans="3:3">
      <c r="C18" s="123"/>
    </row>
    <row r="20" spans="3:3">
      <c r="C20" s="127"/>
    </row>
    <row r="21" spans="7:7">
      <c r="G21" s="127"/>
    </row>
    <row r="29" spans="4:8">
      <c r="D29" s="120"/>
      <c r="H29" s="120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109" customWidth="1"/>
    <col min="2" max="2" width="13.037037037037" style="109" customWidth="1"/>
    <col min="3" max="4" width="17.1111111111111" style="109"/>
    <col min="5" max="5" width="17.1851851851852" style="109" customWidth="1"/>
    <col min="6" max="16384" width="8.88888888888889" style="109"/>
  </cols>
  <sheetData>
    <row r="1" spans="1:1">
      <c r="A1" s="109" t="s">
        <v>330</v>
      </c>
    </row>
    <row r="2" spans="1:2">
      <c r="A2" s="110" t="s">
        <v>331</v>
      </c>
      <c r="B2" s="110" t="s">
        <v>332</v>
      </c>
    </row>
    <row r="3" spans="1:2">
      <c r="A3" s="111">
        <f>23/62</f>
        <v>0.370967741935484</v>
      </c>
      <c r="B3" s="111">
        <f>36/57</f>
        <v>0.631578947368421</v>
      </c>
    </row>
    <row r="4" spans="1:1">
      <c r="A4" s="112" t="s">
        <v>333</v>
      </c>
    </row>
    <row r="19" spans="1:1">
      <c r="A19" s="109" t="s">
        <v>334</v>
      </c>
    </row>
    <row r="20" ht="26" customHeight="1" spans="1:5">
      <c r="A20" s="110"/>
      <c r="B20" s="110" t="s">
        <v>335</v>
      </c>
      <c r="C20" s="110" t="s">
        <v>336</v>
      </c>
      <c r="D20" s="110" t="s">
        <v>337</v>
      </c>
      <c r="E20" s="117" t="s">
        <v>338</v>
      </c>
    </row>
    <row r="21" spans="1:5">
      <c r="A21" s="110" t="s">
        <v>25</v>
      </c>
      <c r="B21" s="111">
        <f>(6*1095+66*1605)/(1095+1605)</f>
        <v>41.6666666666667</v>
      </c>
      <c r="C21" s="111">
        <f>B21/$B$22</f>
        <v>0.155606920284682</v>
      </c>
      <c r="D21" s="113">
        <f>C21*$A$3</f>
        <v>0.0577251478475433</v>
      </c>
      <c r="E21" s="115">
        <f>C21*$B$3</f>
        <v>0.0982780549166413</v>
      </c>
    </row>
    <row r="22" spans="1:5">
      <c r="A22" s="110" t="s">
        <v>10</v>
      </c>
      <c r="B22" s="111">
        <f>(341*459+278*2570+246*2752)/(459+2570+2752)</f>
        <v>267.76872513406</v>
      </c>
      <c r="C22" s="111">
        <f>B22/$B$22</f>
        <v>1</v>
      </c>
      <c r="D22" s="111">
        <f>C22*$A$3</f>
        <v>0.370967741935484</v>
      </c>
      <c r="E22" s="115">
        <f>C22*$B$3</f>
        <v>0.631578947368421</v>
      </c>
    </row>
    <row r="23" spans="1:5">
      <c r="A23" s="110" t="s">
        <v>11</v>
      </c>
      <c r="B23" s="111">
        <f>(165*999+195*1613)/(999+1613)</f>
        <v>183.526033690658</v>
      </c>
      <c r="C23" s="111">
        <f>B23/$B$22</f>
        <v>0.685390101471989</v>
      </c>
      <c r="D23" s="111">
        <f>C23*$A$3</f>
        <v>0.254257618287996</v>
      </c>
      <c r="E23" s="115">
        <f>C23*$B$3</f>
        <v>0.432877958824414</v>
      </c>
    </row>
    <row r="24" spans="1:5">
      <c r="A24" s="110" t="s">
        <v>12</v>
      </c>
      <c r="B24" s="111">
        <f>(131*1661+139*2226)/(1661+2226)</f>
        <v>135.5814252637</v>
      </c>
      <c r="C24" s="111">
        <f>B24/$B$22</f>
        <v>0.506337792794211</v>
      </c>
      <c r="D24" s="111">
        <f>C24*$A$3</f>
        <v>0.187834987649465</v>
      </c>
      <c r="E24" s="115">
        <f>C24*$B$3</f>
        <v>0.319792290185817</v>
      </c>
    </row>
    <row r="25" spans="1:1">
      <c r="A25" s="112" t="s">
        <v>339</v>
      </c>
    </row>
    <row r="37" spans="1:1">
      <c r="A37" s="109" t="s">
        <v>340</v>
      </c>
    </row>
    <row r="38" spans="1:5">
      <c r="A38" s="114"/>
      <c r="B38" s="110" t="s">
        <v>341</v>
      </c>
      <c r="C38" s="110" t="s">
        <v>335</v>
      </c>
      <c r="D38" s="110" t="s">
        <v>342</v>
      </c>
      <c r="E38" s="110" t="s">
        <v>343</v>
      </c>
    </row>
    <row r="39" spans="1:5">
      <c r="A39" s="110" t="s">
        <v>344</v>
      </c>
      <c r="B39" s="111">
        <f>(0.2*29+0.46*45)/(29+45)</f>
        <v>0.358108108108108</v>
      </c>
      <c r="C39" s="111">
        <v>41.6666666666667</v>
      </c>
      <c r="D39" s="111">
        <f t="shared" ref="D39:D46" si="0">B39/C39</f>
        <v>0.00859459459459459</v>
      </c>
      <c r="E39" s="111">
        <f>0.49*D39/$D$40</f>
        <v>1.12766818244295</v>
      </c>
    </row>
    <row r="40" spans="1:5">
      <c r="A40" s="110" t="s">
        <v>345</v>
      </c>
      <c r="B40" s="111">
        <v>1</v>
      </c>
      <c r="C40" s="111">
        <v>267.76872513406</v>
      </c>
      <c r="D40" s="111">
        <f t="shared" si="0"/>
        <v>0.00373456608683237</v>
      </c>
      <c r="E40" s="111">
        <f>0.49*D40/$D$40</f>
        <v>0.49</v>
      </c>
    </row>
    <row r="41" spans="1:5">
      <c r="A41" s="110" t="s">
        <v>346</v>
      </c>
      <c r="B41" s="111">
        <f>(0.14*39+0.17*44)/(39+44)</f>
        <v>0.155903614457831</v>
      </c>
      <c r="C41" s="111">
        <v>183.526033690658</v>
      </c>
      <c r="D41" s="111">
        <f t="shared" si="0"/>
        <v>0.000849490458234465</v>
      </c>
      <c r="E41" s="111">
        <f>0.49*D41/$D$40</f>
        <v>0.111458818737346</v>
      </c>
    </row>
    <row r="42" spans="1:5">
      <c r="A42" s="110" t="s">
        <v>347</v>
      </c>
      <c r="B42" s="111">
        <v>0.39</v>
      </c>
      <c r="C42" s="111">
        <v>135.5814252637</v>
      </c>
      <c r="D42" s="111">
        <f t="shared" si="0"/>
        <v>0.00287650022295803</v>
      </c>
      <c r="E42" s="111">
        <f>0.49*D42/$D$40</f>
        <v>0.377416030799162</v>
      </c>
    </row>
    <row r="43" spans="1:5">
      <c r="A43" s="110" t="s">
        <v>161</v>
      </c>
      <c r="B43" s="111">
        <f>(0.04*3+0.35*9)/(3+9)</f>
        <v>0.2725</v>
      </c>
      <c r="C43" s="115">
        <v>41.6666666666667</v>
      </c>
      <c r="D43" s="115">
        <f t="shared" si="0"/>
        <v>0.00654</v>
      </c>
      <c r="E43" s="115">
        <f>0.49*D43/$D$44</f>
        <v>0.746166657882268</v>
      </c>
    </row>
    <row r="44" spans="1:5">
      <c r="A44" s="110" t="s">
        <v>348</v>
      </c>
      <c r="B44" s="111">
        <v>1.15</v>
      </c>
      <c r="C44" s="115">
        <v>267.76872513406</v>
      </c>
      <c r="D44" s="115">
        <f t="shared" si="0"/>
        <v>0.00429475099985723</v>
      </c>
      <c r="E44" s="115">
        <f>0.49*D44/$D$44</f>
        <v>0.49</v>
      </c>
    </row>
    <row r="45" spans="1:5">
      <c r="A45" s="110" t="s">
        <v>160</v>
      </c>
      <c r="B45" s="111">
        <f>(0.12*5+0.04*11)/(5+11)</f>
        <v>0.065</v>
      </c>
      <c r="C45" s="115">
        <v>183.526033690658</v>
      </c>
      <c r="D45" s="115">
        <f t="shared" si="0"/>
        <v>0.000354173185639486</v>
      </c>
      <c r="E45" s="115">
        <f>0.49*D45/$D$44</f>
        <v>0.040408596672803</v>
      </c>
    </row>
    <row r="46" spans="1:5">
      <c r="A46" s="110" t="s">
        <v>349</v>
      </c>
      <c r="B46" s="111">
        <f>0.17</f>
        <v>0.17</v>
      </c>
      <c r="C46" s="115">
        <v>135.5814252637</v>
      </c>
      <c r="D46" s="115">
        <f t="shared" si="0"/>
        <v>0.00125385907154581</v>
      </c>
      <c r="E46" s="115">
        <f>0.49*D46/$D$44</f>
        <v>0.143056243558211</v>
      </c>
    </row>
    <row r="47" spans="1:1">
      <c r="A47" s="112" t="s">
        <v>350</v>
      </c>
    </row>
    <row r="64" spans="1:4">
      <c r="A64" s="110"/>
      <c r="B64" s="110" t="s">
        <v>336</v>
      </c>
      <c r="C64" s="114" t="s">
        <v>351</v>
      </c>
      <c r="D64" s="116"/>
    </row>
    <row r="65" spans="1:4">
      <c r="A65" s="110" t="s">
        <v>344</v>
      </c>
      <c r="B65" s="111">
        <v>0.155606920284682</v>
      </c>
      <c r="C65" s="113"/>
      <c r="D65" s="118"/>
    </row>
    <row r="66" spans="1:4">
      <c r="A66" s="110" t="s">
        <v>345</v>
      </c>
      <c r="B66" s="111">
        <v>1</v>
      </c>
      <c r="C66" s="113">
        <v>0.4</v>
      </c>
      <c r="D66" s="118" t="s">
        <v>352</v>
      </c>
    </row>
    <row r="67" spans="1:4">
      <c r="A67" s="110" t="s">
        <v>346</v>
      </c>
      <c r="B67" s="111">
        <v>0.685390101471989</v>
      </c>
      <c r="C67" s="113">
        <f>7/27</f>
        <v>0.259259259259259</v>
      </c>
      <c r="D67" s="118"/>
    </row>
    <row r="68" spans="1:4">
      <c r="A68" s="110" t="s">
        <v>347</v>
      </c>
      <c r="B68" s="111">
        <v>0.506337792794211</v>
      </c>
      <c r="C68" s="113">
        <f>1/11</f>
        <v>0.0909090909090909</v>
      </c>
      <c r="D68" s="118"/>
    </row>
    <row r="69" ht="12.6" spans="1:1">
      <c r="A69" s="119" t="s">
        <v>353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99" t="s">
        <v>354</v>
      </c>
      <c r="B1" s="100" t="s">
        <v>355</v>
      </c>
      <c r="C1" s="101" t="s">
        <v>356</v>
      </c>
      <c r="D1" s="100" t="s">
        <v>357</v>
      </c>
      <c r="E1" s="100" t="s">
        <v>358</v>
      </c>
      <c r="F1" s="100" t="s">
        <v>143</v>
      </c>
      <c r="G1" s="100" t="s">
        <v>29</v>
      </c>
    </row>
    <row r="2" ht="27" customHeight="1" spans="1:7">
      <c r="A2" s="102" t="s">
        <v>359</v>
      </c>
      <c r="B2" s="103" t="s">
        <v>10</v>
      </c>
      <c r="C2" s="103" t="s">
        <v>360</v>
      </c>
      <c r="D2" s="103" t="s">
        <v>361</v>
      </c>
      <c r="E2" s="103">
        <v>50</v>
      </c>
      <c r="F2" s="103" t="s">
        <v>362</v>
      </c>
      <c r="G2" s="107" t="s">
        <v>363</v>
      </c>
    </row>
    <row r="3" ht="27" customHeight="1" spans="1:7">
      <c r="A3" s="104"/>
      <c r="B3" s="103"/>
      <c r="C3" s="103" t="s">
        <v>364</v>
      </c>
      <c r="D3" s="103"/>
      <c r="E3" s="103">
        <v>100</v>
      </c>
      <c r="F3" s="103" t="s">
        <v>362</v>
      </c>
      <c r="G3" s="108" t="s">
        <v>365</v>
      </c>
    </row>
    <row r="4" ht="27" customHeight="1" spans="1:7">
      <c r="A4" s="104"/>
      <c r="B4" s="105" t="s">
        <v>366</v>
      </c>
      <c r="C4" s="106" t="s">
        <v>367</v>
      </c>
      <c r="D4" s="105" t="s">
        <v>368</v>
      </c>
      <c r="E4" s="105" t="s">
        <v>369</v>
      </c>
      <c r="F4" s="105" t="s">
        <v>370</v>
      </c>
      <c r="G4" s="108" t="s">
        <v>371</v>
      </c>
    </row>
    <row r="5" ht="27" customHeight="1" spans="1:7">
      <c r="A5" s="102" t="s">
        <v>372</v>
      </c>
      <c r="B5" s="103" t="s">
        <v>10</v>
      </c>
      <c r="C5" s="103" t="s">
        <v>373</v>
      </c>
      <c r="D5" s="103"/>
      <c r="E5" s="103">
        <v>50</v>
      </c>
      <c r="F5" s="103" t="s">
        <v>362</v>
      </c>
      <c r="G5" s="107" t="s">
        <v>363</v>
      </c>
    </row>
    <row r="6" ht="27" customHeight="1" spans="1:7">
      <c r="A6" s="104"/>
      <c r="B6" s="103"/>
      <c r="C6" s="103" t="s">
        <v>374</v>
      </c>
      <c r="D6" s="103"/>
      <c r="E6" s="103">
        <v>100</v>
      </c>
      <c r="F6" s="103" t="s">
        <v>375</v>
      </c>
      <c r="G6" s="107" t="s">
        <v>365</v>
      </c>
    </row>
    <row r="7" ht="27" customHeight="1" spans="1:7">
      <c r="A7" s="102" t="s">
        <v>376</v>
      </c>
      <c r="B7" s="105" t="s">
        <v>10</v>
      </c>
      <c r="C7" s="106" t="s">
        <v>377</v>
      </c>
      <c r="D7" s="105"/>
      <c r="E7" s="105">
        <v>200</v>
      </c>
      <c r="F7" s="105" t="s">
        <v>378</v>
      </c>
      <c r="G7" s="107" t="s">
        <v>379</v>
      </c>
    </row>
    <row r="8" ht="27" customHeight="1" spans="1:7">
      <c r="A8" s="104"/>
      <c r="B8" s="105" t="s">
        <v>380</v>
      </c>
      <c r="C8" s="106" t="s">
        <v>381</v>
      </c>
      <c r="D8" s="105"/>
      <c r="E8" s="105">
        <v>200</v>
      </c>
      <c r="F8" s="105" t="s">
        <v>378</v>
      </c>
      <c r="G8" s="107" t="s">
        <v>379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A24" sqref="A24"/>
    </sheetView>
  </sheetViews>
  <sheetFormatPr defaultColWidth="8.88888888888889" defaultRowHeight="12.6"/>
  <cols>
    <col min="1" max="2" width="8.88888888888889" style="92"/>
    <col min="3" max="4" width="12.8888888888889" style="92"/>
    <col min="5" max="8" width="8.88888888888889" style="92"/>
    <col min="9" max="10" width="12.8888888888889" style="92"/>
    <col min="11" max="16384" width="8.88888888888889" style="92"/>
  </cols>
  <sheetData>
    <row r="1" spans="1:1">
      <c r="A1" s="93" t="s">
        <v>261</v>
      </c>
    </row>
    <row r="2" spans="1:7">
      <c r="A2" s="92" t="s">
        <v>382</v>
      </c>
      <c r="G2" s="92" t="s">
        <v>336</v>
      </c>
    </row>
    <row r="3" spans="2:11">
      <c r="B3" s="92" t="s">
        <v>383</v>
      </c>
      <c r="C3" s="92" t="s">
        <v>4</v>
      </c>
      <c r="D3" s="92" t="s">
        <v>5</v>
      </c>
      <c r="E3" s="92" t="s">
        <v>6</v>
      </c>
      <c r="H3" s="92" t="s">
        <v>383</v>
      </c>
      <c r="I3" s="92" t="s">
        <v>4</v>
      </c>
      <c r="J3" s="92" t="s">
        <v>5</v>
      </c>
      <c r="K3" s="92" t="s">
        <v>6</v>
      </c>
    </row>
    <row r="4" spans="1:11">
      <c r="A4" s="92" t="s">
        <v>383</v>
      </c>
      <c r="B4" s="94"/>
      <c r="C4" s="94">
        <v>2.7</v>
      </c>
      <c r="D4" s="94">
        <v>1.04</v>
      </c>
      <c r="E4" s="95">
        <f>AVERAGE(C4:C6,D4:D5)</f>
        <v>1.746</v>
      </c>
      <c r="G4" s="92" t="s">
        <v>383</v>
      </c>
      <c r="H4" s="94"/>
      <c r="I4" s="94">
        <f>C4/$C$4</f>
        <v>1</v>
      </c>
      <c r="J4" s="94">
        <f>D4/$C$4</f>
        <v>0.385185185185185</v>
      </c>
      <c r="K4" s="95">
        <f>AVERAGE($I$4:$I$6,$J$4:$J$5)</f>
        <v>0.646666666666667</v>
      </c>
    </row>
    <row r="5" spans="1:11">
      <c r="A5" s="92" t="s">
        <v>4</v>
      </c>
      <c r="B5" s="94"/>
      <c r="C5" s="94">
        <v>1.79</v>
      </c>
      <c r="D5" s="94">
        <v>1.38</v>
      </c>
      <c r="E5" s="95">
        <f>E4</f>
        <v>1.746</v>
      </c>
      <c r="G5" s="92" t="s">
        <v>4</v>
      </c>
      <c r="H5" s="94"/>
      <c r="I5" s="94">
        <f>C5/$C$4</f>
        <v>0.662962962962963</v>
      </c>
      <c r="J5" s="94">
        <f>D5/$C$4</f>
        <v>0.511111111111111</v>
      </c>
      <c r="K5" s="95">
        <f>AVERAGE($I$4:$I$6,$J$4:$J$5)</f>
        <v>0.646666666666667</v>
      </c>
    </row>
    <row r="6" spans="1:11">
      <c r="A6" s="92" t="s">
        <v>5</v>
      </c>
      <c r="B6" s="94"/>
      <c r="C6" s="94">
        <v>1.82</v>
      </c>
      <c r="D6" s="95">
        <f>AVERAGE(D4:D5)</f>
        <v>1.21</v>
      </c>
      <c r="E6" s="95">
        <f>E5</f>
        <v>1.746</v>
      </c>
      <c r="G6" s="92" t="s">
        <v>5</v>
      </c>
      <c r="H6" s="94"/>
      <c r="I6" s="94">
        <f>C6/$C$4</f>
        <v>0.674074074074074</v>
      </c>
      <c r="J6" s="95">
        <f>AVERAGE(J4:J5)</f>
        <v>0.448148148148148</v>
      </c>
      <c r="K6" s="95">
        <f>AVERAGE($I$4:$I$6,$J$4:$J$5)</f>
        <v>0.646666666666667</v>
      </c>
    </row>
    <row r="7" spans="1:11">
      <c r="A7" s="92" t="s">
        <v>6</v>
      </c>
      <c r="B7" s="94"/>
      <c r="C7" s="95">
        <f>AVERAGE(C4:C6)</f>
        <v>2.10333333333333</v>
      </c>
      <c r="D7" s="95">
        <f>AVERAGE(D4:D5)</f>
        <v>1.21</v>
      </c>
      <c r="E7" s="95">
        <f>E6</f>
        <v>1.746</v>
      </c>
      <c r="G7" s="92" t="s">
        <v>6</v>
      </c>
      <c r="H7" s="94"/>
      <c r="I7" s="95">
        <f>AVERAGE(I4:I6)</f>
        <v>0.779012345679012</v>
      </c>
      <c r="J7" s="95">
        <f>AVERAGE(J4:J5)</f>
        <v>0.448148148148148</v>
      </c>
      <c r="K7" s="95">
        <f>AVERAGE($I$4:$I$6,$J$4:$J$5)</f>
        <v>0.646666666666667</v>
      </c>
    </row>
    <row r="9" spans="1:1">
      <c r="A9" s="92" t="s">
        <v>384</v>
      </c>
    </row>
    <row r="10" spans="2:5">
      <c r="B10" s="92" t="s">
        <v>383</v>
      </c>
      <c r="C10" s="92" t="s">
        <v>4</v>
      </c>
      <c r="D10" s="92" t="s">
        <v>5</v>
      </c>
      <c r="E10" s="92" t="s">
        <v>6</v>
      </c>
    </row>
    <row r="11" spans="1:11">
      <c r="A11" s="92" t="s">
        <v>383</v>
      </c>
      <c r="C11" s="92">
        <v>0.68</v>
      </c>
      <c r="D11" s="92">
        <v>0.18</v>
      </c>
      <c r="H11" s="96"/>
      <c r="I11" s="96"/>
      <c r="J11" s="96"/>
      <c r="K11" s="98"/>
    </row>
    <row r="12" spans="1:11">
      <c r="A12" s="92" t="s">
        <v>4</v>
      </c>
      <c r="C12" s="92">
        <v>0.19</v>
      </c>
      <c r="D12" s="92">
        <v>0.22</v>
      </c>
      <c r="H12" s="96"/>
      <c r="I12" s="96"/>
      <c r="J12" s="96"/>
      <c r="K12" s="98"/>
    </row>
    <row r="13" spans="1:11">
      <c r="A13" s="92" t="s">
        <v>5</v>
      </c>
      <c r="C13" s="92">
        <v>0.33</v>
      </c>
      <c r="H13" s="96"/>
      <c r="I13" s="96"/>
      <c r="J13" s="98"/>
      <c r="K13" s="98"/>
    </row>
    <row r="14" spans="1:11">
      <c r="A14" s="92" t="s">
        <v>6</v>
      </c>
      <c r="H14" s="96"/>
      <c r="I14" s="98"/>
      <c r="J14" s="98"/>
      <c r="K14" s="98"/>
    </row>
    <row r="16" spans="1:1">
      <c r="A16" s="92" t="s">
        <v>385</v>
      </c>
    </row>
    <row r="17" spans="2:5">
      <c r="B17" s="92" t="s">
        <v>383</v>
      </c>
      <c r="C17" s="92" t="s">
        <v>4</v>
      </c>
      <c r="D17" s="92" t="s">
        <v>5</v>
      </c>
      <c r="E17" s="92" t="s">
        <v>6</v>
      </c>
    </row>
    <row r="18" spans="1:5">
      <c r="A18" s="92" t="s">
        <v>383</v>
      </c>
      <c r="B18" s="96"/>
      <c r="C18" s="94">
        <f>C11/C4</f>
        <v>0.251851851851852</v>
      </c>
      <c r="D18" s="94">
        <f>D11/D4</f>
        <v>0.173076923076923</v>
      </c>
      <c r="E18" s="95">
        <f t="shared" ref="E18:E21" si="0">AVERAGE($C$18:$C$20,$D$18:$D$19)</f>
        <v>0.174362599499835</v>
      </c>
    </row>
    <row r="19" spans="1:5">
      <c r="A19" s="92" t="s">
        <v>4</v>
      </c>
      <c r="B19" s="96"/>
      <c r="C19" s="94">
        <f>C12/C5</f>
        <v>0.106145251396648</v>
      </c>
      <c r="D19" s="94">
        <f>D12/D5</f>
        <v>0.159420289855072</v>
      </c>
      <c r="E19" s="95">
        <f t="shared" si="0"/>
        <v>0.174362599499835</v>
      </c>
    </row>
    <row r="20" spans="1:5">
      <c r="A20" s="92" t="s">
        <v>5</v>
      </c>
      <c r="B20" s="96"/>
      <c r="C20" s="94">
        <f>C13/C6</f>
        <v>0.181318681318681</v>
      </c>
      <c r="D20" s="95">
        <f>AVERAGE(D18:D19)</f>
        <v>0.166248606465998</v>
      </c>
      <c r="E20" s="95">
        <f t="shared" si="0"/>
        <v>0.174362599499835</v>
      </c>
    </row>
    <row r="21" spans="1:5">
      <c r="A21" s="92" t="s">
        <v>6</v>
      </c>
      <c r="B21" s="96"/>
      <c r="C21" s="95">
        <f>AVERAGE(C18:C20)</f>
        <v>0.17977192818906</v>
      </c>
      <c r="D21" s="95">
        <f>AVERAGE(D18:D19)</f>
        <v>0.166248606465998</v>
      </c>
      <c r="E21" s="95">
        <f t="shared" si="0"/>
        <v>0.174362599499835</v>
      </c>
    </row>
    <row r="23" spans="1:1">
      <c r="A23" s="92" t="s">
        <v>386</v>
      </c>
    </row>
    <row r="24" spans="1:1">
      <c r="A24" s="97" t="s">
        <v>387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17" workbookViewId="0">
      <selection activeCell="G38" sqref="G38"/>
    </sheetView>
  </sheetViews>
  <sheetFormatPr defaultColWidth="8.88888888888889" defaultRowHeight="13.2"/>
  <cols>
    <col min="1" max="1" width="23.4444444444444" style="76" customWidth="1"/>
    <col min="2" max="2" width="13" style="76" customWidth="1"/>
    <col min="3" max="3" width="14.4444444444444" style="76" customWidth="1"/>
    <col min="4" max="4" width="10.2222222222222" style="76"/>
    <col min="5" max="5" width="15.6666666666667" style="76"/>
    <col min="6" max="6" width="2.77777777777778" style="76" customWidth="1"/>
    <col min="7" max="13" width="10.2222222222222" style="76"/>
    <col min="14" max="14" width="2.55555555555556" style="76" customWidth="1"/>
    <col min="15" max="15" width="8.88888888888889" style="76"/>
    <col min="16" max="20" width="11.6666666666667" style="76"/>
    <col min="21" max="21" width="10.2222222222222" style="76"/>
    <col min="22" max="16384" width="8.88888888888889" style="76"/>
  </cols>
  <sheetData>
    <row r="1" ht="12.6" spans="1:2">
      <c r="A1" s="77" t="s">
        <v>388</v>
      </c>
      <c r="B1" s="78" t="s">
        <v>389</v>
      </c>
    </row>
    <row r="2" spans="1:2">
      <c r="A2" s="76" t="s">
        <v>390</v>
      </c>
      <c r="B2" s="76" t="s">
        <v>391</v>
      </c>
    </row>
    <row r="4" spans="1:21">
      <c r="A4" s="76" t="s">
        <v>392</v>
      </c>
      <c r="B4" s="76" t="s">
        <v>25</v>
      </c>
      <c r="C4" s="76" t="s">
        <v>10</v>
      </c>
      <c r="D4" s="76" t="s">
        <v>11</v>
      </c>
      <c r="E4" s="76" t="s">
        <v>12</v>
      </c>
      <c r="G4" s="76" t="s">
        <v>393</v>
      </c>
      <c r="H4" s="83" t="s">
        <v>268</v>
      </c>
      <c r="I4" s="86" t="s">
        <v>269</v>
      </c>
      <c r="J4" s="76" t="s">
        <v>10</v>
      </c>
      <c r="K4" s="83" t="s">
        <v>270</v>
      </c>
      <c r="L4" s="86" t="s">
        <v>271</v>
      </c>
      <c r="M4" s="76" t="s">
        <v>12</v>
      </c>
      <c r="N4" s="91"/>
      <c r="O4" s="76" t="s">
        <v>394</v>
      </c>
      <c r="P4" s="83" t="s">
        <v>268</v>
      </c>
      <c r="Q4" s="86" t="s">
        <v>269</v>
      </c>
      <c r="R4" s="76" t="s">
        <v>10</v>
      </c>
      <c r="S4" s="83" t="s">
        <v>270</v>
      </c>
      <c r="T4" s="86" t="s">
        <v>271</v>
      </c>
      <c r="U4" s="76" t="s">
        <v>12</v>
      </c>
    </row>
    <row r="5" spans="1:21">
      <c r="A5" s="76" t="s">
        <v>25</v>
      </c>
      <c r="B5" s="79">
        <f>SUMPRODUCT(H5:I6,P5:Q6)/SUM(P5:Q6)</f>
        <v>1.21424657534247</v>
      </c>
      <c r="C5" s="79">
        <f>SUMPRODUCT(J5:J6,R5:R6)/SUM(R5:R6)</f>
        <v>0.951818181818182</v>
      </c>
      <c r="D5" s="79">
        <f>SUMPRODUCT(K5:L6,S5:T6)/SUM(S5:T6)</f>
        <v>1.014</v>
      </c>
      <c r="E5" s="79"/>
      <c r="G5" s="83" t="s">
        <v>268</v>
      </c>
      <c r="H5" s="83">
        <v>1.43</v>
      </c>
      <c r="I5" s="86">
        <v>1.19</v>
      </c>
      <c r="J5" s="87">
        <v>0.87</v>
      </c>
      <c r="K5" s="83">
        <v>0.81</v>
      </c>
      <c r="L5" s="86"/>
      <c r="M5" s="87"/>
      <c r="N5" s="91"/>
      <c r="O5" s="87" t="s">
        <v>268</v>
      </c>
      <c r="P5" s="83">
        <v>37</v>
      </c>
      <c r="Q5" s="86">
        <v>12</v>
      </c>
      <c r="R5" s="87">
        <v>12</v>
      </c>
      <c r="S5" s="83">
        <v>2</v>
      </c>
      <c r="T5" s="86"/>
      <c r="U5" s="86"/>
    </row>
    <row r="6" spans="1:21">
      <c r="A6" s="76" t="s">
        <v>10</v>
      </c>
      <c r="B6" s="79">
        <f>SUMPRODUCT(H7:I7,P7:Q7)/SUM(P7:Q7)</f>
        <v>1.09</v>
      </c>
      <c r="C6" s="79">
        <f>J7</f>
        <v>0.69</v>
      </c>
      <c r="D6" s="79">
        <f>K7</f>
        <v>0.3</v>
      </c>
      <c r="E6" s="79"/>
      <c r="G6" s="84" t="s">
        <v>269</v>
      </c>
      <c r="H6" s="84">
        <v>1.34</v>
      </c>
      <c r="I6" s="88">
        <v>0.83</v>
      </c>
      <c r="J6" s="89">
        <v>1.05</v>
      </c>
      <c r="K6" s="84">
        <v>1.3</v>
      </c>
      <c r="L6" s="88">
        <v>0.85</v>
      </c>
      <c r="M6" s="89"/>
      <c r="N6" s="91"/>
      <c r="O6" s="89" t="s">
        <v>269</v>
      </c>
      <c r="P6" s="84">
        <v>3</v>
      </c>
      <c r="Q6" s="88">
        <v>21</v>
      </c>
      <c r="R6" s="89">
        <v>10</v>
      </c>
      <c r="S6" s="84">
        <v>2</v>
      </c>
      <c r="T6" s="88">
        <v>1</v>
      </c>
      <c r="U6" s="88"/>
    </row>
    <row r="7" spans="1:20">
      <c r="A7" s="76" t="s">
        <v>11</v>
      </c>
      <c r="B7" s="79">
        <f>SUMPRODUCT(H8:I9,P8:Q9)/SUM(P8:Q9)</f>
        <v>1.07565217391304</v>
      </c>
      <c r="C7" s="79">
        <f>SUMPRODUCT(J8:J9,R8:R9)/SUM(R8:R9)</f>
        <v>0.847894736842105</v>
      </c>
      <c r="D7" s="79">
        <f>SUMPRODUCT(K8:L9,S8:T9)/SUM(S8:T9)</f>
        <v>0.829433962264151</v>
      </c>
      <c r="E7" s="79">
        <f>M9</f>
        <v>2.12</v>
      </c>
      <c r="G7" s="76" t="s">
        <v>10</v>
      </c>
      <c r="H7" s="85">
        <v>1.83</v>
      </c>
      <c r="I7" s="90">
        <v>0.72</v>
      </c>
      <c r="J7" s="76">
        <v>0.69</v>
      </c>
      <c r="K7" s="85">
        <v>0.3</v>
      </c>
      <c r="L7" s="90"/>
      <c r="N7" s="91"/>
      <c r="O7" s="76" t="s">
        <v>10</v>
      </c>
      <c r="P7" s="85">
        <v>1</v>
      </c>
      <c r="Q7" s="90">
        <v>2</v>
      </c>
      <c r="R7" s="76">
        <v>74</v>
      </c>
      <c r="S7" s="85">
        <v>2</v>
      </c>
      <c r="T7" s="90"/>
    </row>
    <row r="8" spans="1:21">
      <c r="A8" s="76" t="s">
        <v>12</v>
      </c>
      <c r="B8" s="79"/>
      <c r="C8" s="79">
        <f>J10</f>
        <v>0.97</v>
      </c>
      <c r="D8" s="79">
        <f>SUMPRODUCT(K10:L10,S10:T10)/SUM(S10:T10)</f>
        <v>1.135</v>
      </c>
      <c r="E8" s="79">
        <f>M10</f>
        <v>0.99</v>
      </c>
      <c r="G8" s="83" t="s">
        <v>270</v>
      </c>
      <c r="H8" s="83">
        <v>1.29</v>
      </c>
      <c r="I8" s="86">
        <v>0.85</v>
      </c>
      <c r="J8" s="87">
        <v>0.99</v>
      </c>
      <c r="K8" s="83">
        <v>0.71</v>
      </c>
      <c r="L8" s="86">
        <v>0.39</v>
      </c>
      <c r="M8" s="87"/>
      <c r="N8" s="91"/>
      <c r="O8" s="87" t="s">
        <v>270</v>
      </c>
      <c r="P8" s="83">
        <v>12</v>
      </c>
      <c r="Q8" s="86">
        <v>2</v>
      </c>
      <c r="R8" s="87">
        <v>13</v>
      </c>
      <c r="S8" s="83">
        <v>35</v>
      </c>
      <c r="T8" s="86">
        <v>1</v>
      </c>
      <c r="U8" s="86"/>
    </row>
    <row r="9" spans="4:21">
      <c r="D9" s="76" t="s">
        <v>395</v>
      </c>
      <c r="E9" s="76">
        <f>AVERAGE(B5:E8)</f>
        <v>1.0175419715523</v>
      </c>
      <c r="G9" s="84" t="s">
        <v>271</v>
      </c>
      <c r="H9" s="84"/>
      <c r="I9" s="88">
        <v>0.84</v>
      </c>
      <c r="J9" s="89">
        <v>0.54</v>
      </c>
      <c r="K9" s="84">
        <v>1.06</v>
      </c>
      <c r="L9" s="88">
        <v>1.11</v>
      </c>
      <c r="M9" s="89">
        <v>2.12</v>
      </c>
      <c r="N9" s="91"/>
      <c r="O9" s="89" t="s">
        <v>271</v>
      </c>
      <c r="P9" s="84"/>
      <c r="Q9" s="88">
        <v>9</v>
      </c>
      <c r="R9" s="89">
        <v>6</v>
      </c>
      <c r="S9" s="84">
        <v>3</v>
      </c>
      <c r="T9" s="88">
        <v>14</v>
      </c>
      <c r="U9" s="88">
        <v>1</v>
      </c>
    </row>
    <row r="10" spans="4:21">
      <c r="D10" s="76" t="s">
        <v>396</v>
      </c>
      <c r="E10" s="76">
        <f>AVERAGE(B5,C6,D7,E8)</f>
        <v>0.930920134401654</v>
      </c>
      <c r="G10" s="76" t="s">
        <v>12</v>
      </c>
      <c r="H10" s="84"/>
      <c r="I10" s="88"/>
      <c r="J10" s="76">
        <v>0.97</v>
      </c>
      <c r="K10" s="84">
        <v>1.45</v>
      </c>
      <c r="L10" s="88">
        <v>1.03</v>
      </c>
      <c r="M10" s="76">
        <v>0.99</v>
      </c>
      <c r="N10" s="91"/>
      <c r="O10" s="76" t="s">
        <v>12</v>
      </c>
      <c r="P10" s="84"/>
      <c r="Q10" s="88"/>
      <c r="R10" s="76">
        <v>2</v>
      </c>
      <c r="S10" s="84">
        <v>1</v>
      </c>
      <c r="T10" s="88">
        <v>3</v>
      </c>
      <c r="U10" s="76">
        <v>4</v>
      </c>
    </row>
    <row r="13" spans="1:21">
      <c r="A13" s="76" t="s">
        <v>397</v>
      </c>
      <c r="B13" s="76" t="s">
        <v>25</v>
      </c>
      <c r="C13" s="76" t="s">
        <v>10</v>
      </c>
      <c r="D13" s="76" t="s">
        <v>11</v>
      </c>
      <c r="E13" s="76" t="s">
        <v>12</v>
      </c>
      <c r="G13" s="76" t="s">
        <v>393</v>
      </c>
      <c r="H13" s="83" t="s">
        <v>268</v>
      </c>
      <c r="I13" s="86" t="s">
        <v>269</v>
      </c>
      <c r="J13" s="76" t="s">
        <v>10</v>
      </c>
      <c r="K13" s="83" t="s">
        <v>270</v>
      </c>
      <c r="L13" s="86" t="s">
        <v>271</v>
      </c>
      <c r="M13" s="76" t="s">
        <v>12</v>
      </c>
      <c r="N13" s="91"/>
      <c r="O13" s="76" t="s">
        <v>394</v>
      </c>
      <c r="P13" s="83" t="s">
        <v>268</v>
      </c>
      <c r="Q13" s="86" t="s">
        <v>269</v>
      </c>
      <c r="R13" s="76" t="s">
        <v>10</v>
      </c>
      <c r="S13" s="83" t="s">
        <v>270</v>
      </c>
      <c r="T13" s="86" t="s">
        <v>271</v>
      </c>
      <c r="U13" s="76" t="s">
        <v>12</v>
      </c>
    </row>
    <row r="14" spans="1:21">
      <c r="A14" s="76" t="s">
        <v>25</v>
      </c>
      <c r="B14" s="76">
        <f>SUMPRODUCT(H14:I15,P14:Q15)/SUM(P14:Q15)</f>
        <v>1.32328767123288</v>
      </c>
      <c r="C14" s="76">
        <f>SUMPRODUCT(J14:J15,R14:R15)/SUM(R14:R15)</f>
        <v>0.923636363636364</v>
      </c>
      <c r="D14" s="76">
        <f>SUMPRODUCT(K14:L15,S14:T15)/SUM(S14:T15)</f>
        <v>1.038</v>
      </c>
      <c r="G14" s="83" t="s">
        <v>268</v>
      </c>
      <c r="H14" s="83">
        <v>1.47</v>
      </c>
      <c r="I14" s="86">
        <v>1.39</v>
      </c>
      <c r="J14" s="87">
        <v>0.91</v>
      </c>
      <c r="K14" s="83">
        <v>0.91</v>
      </c>
      <c r="L14" s="86"/>
      <c r="M14" s="87"/>
      <c r="N14" s="91"/>
      <c r="O14" s="87" t="s">
        <v>268</v>
      </c>
      <c r="P14" s="83">
        <v>37</v>
      </c>
      <c r="Q14" s="86">
        <v>12</v>
      </c>
      <c r="R14" s="87">
        <v>12</v>
      </c>
      <c r="S14" s="83">
        <v>2</v>
      </c>
      <c r="T14" s="86"/>
      <c r="U14" s="86"/>
    </row>
    <row r="15" spans="1:21">
      <c r="A15" s="76" t="s">
        <v>10</v>
      </c>
      <c r="B15" s="76">
        <f>SUMPRODUCT(H16:I16,P16:Q16)/SUM(P16:Q16)</f>
        <v>1.03</v>
      </c>
      <c r="C15" s="76">
        <f>J16</f>
        <v>0.78</v>
      </c>
      <c r="D15" s="76">
        <f>K16</f>
        <v>0.51</v>
      </c>
      <c r="G15" s="84" t="s">
        <v>269</v>
      </c>
      <c r="H15" s="84">
        <v>1.23</v>
      </c>
      <c r="I15" s="88">
        <v>1.04</v>
      </c>
      <c r="J15" s="89">
        <v>0.94</v>
      </c>
      <c r="K15" s="84">
        <v>1.38</v>
      </c>
      <c r="L15" s="88">
        <v>0.61</v>
      </c>
      <c r="M15" s="89"/>
      <c r="N15" s="91"/>
      <c r="O15" s="89" t="s">
        <v>269</v>
      </c>
      <c r="P15" s="84">
        <v>3</v>
      </c>
      <c r="Q15" s="88">
        <v>21</v>
      </c>
      <c r="R15" s="89">
        <v>10</v>
      </c>
      <c r="S15" s="84">
        <v>2</v>
      </c>
      <c r="T15" s="88">
        <v>1</v>
      </c>
      <c r="U15" s="88"/>
    </row>
    <row r="16" spans="1:20">
      <c r="A16" s="76" t="s">
        <v>11</v>
      </c>
      <c r="B16" s="76">
        <f>SUMPRODUCT(H17:I18,P17:Q18)/SUM(P17:Q18)</f>
        <v>1.09347826086957</v>
      </c>
      <c r="C16" s="76">
        <f>SUMPRODUCT(J17:J18,R17:R18)/SUM(R17:R18)</f>
        <v>0.997894736842105</v>
      </c>
      <c r="D16" s="80">
        <f>SUMPRODUCT(K17:L18,S17:T18)/SUM(S17:T18)</f>
        <v>0.874905660377359</v>
      </c>
      <c r="E16" s="76">
        <f>M18</f>
        <v>1.23</v>
      </c>
      <c r="G16" s="76" t="s">
        <v>10</v>
      </c>
      <c r="H16" s="85">
        <v>1.35</v>
      </c>
      <c r="I16" s="90">
        <v>0.87</v>
      </c>
      <c r="J16" s="76">
        <v>0.78</v>
      </c>
      <c r="K16" s="85">
        <v>0.51</v>
      </c>
      <c r="L16" s="90"/>
      <c r="N16" s="91"/>
      <c r="O16" s="76" t="s">
        <v>10</v>
      </c>
      <c r="P16" s="85">
        <v>1</v>
      </c>
      <c r="Q16" s="90">
        <v>2</v>
      </c>
      <c r="R16" s="76">
        <v>74</v>
      </c>
      <c r="S16" s="85">
        <v>2</v>
      </c>
      <c r="T16" s="90"/>
    </row>
    <row r="17" spans="1:21">
      <c r="A17" s="76" t="s">
        <v>12</v>
      </c>
      <c r="C17" s="76">
        <f>J19</f>
        <v>1.27</v>
      </c>
      <c r="D17" s="76">
        <f>SUMPRODUCT(K19:L19,S19:T19)/SUM(S19:T19)</f>
        <v>0.8675</v>
      </c>
      <c r="E17" s="76">
        <f>M19</f>
        <v>1.46</v>
      </c>
      <c r="G17" s="83" t="s">
        <v>270</v>
      </c>
      <c r="H17" s="83">
        <v>1.26</v>
      </c>
      <c r="I17" s="86">
        <v>0.74</v>
      </c>
      <c r="J17" s="87">
        <v>1.14</v>
      </c>
      <c r="K17" s="83">
        <v>0.73</v>
      </c>
      <c r="L17" s="86">
        <v>1.25</v>
      </c>
      <c r="M17" s="87"/>
      <c r="N17" s="91"/>
      <c r="O17" s="87" t="s">
        <v>270</v>
      </c>
      <c r="P17" s="83">
        <v>12</v>
      </c>
      <c r="Q17" s="86">
        <v>2</v>
      </c>
      <c r="R17" s="87">
        <v>13</v>
      </c>
      <c r="S17" s="83">
        <v>35</v>
      </c>
      <c r="T17" s="86">
        <v>1</v>
      </c>
      <c r="U17" s="86"/>
    </row>
    <row r="18" spans="4:21">
      <c r="D18" s="76" t="s">
        <v>395</v>
      </c>
      <c r="E18" s="76">
        <f>AVERAGE(B14:E17)</f>
        <v>1.03066943791987</v>
      </c>
      <c r="G18" s="84" t="s">
        <v>271</v>
      </c>
      <c r="H18" s="84"/>
      <c r="I18" s="88">
        <v>0.95</v>
      </c>
      <c r="J18" s="89">
        <v>0.69</v>
      </c>
      <c r="K18" s="84">
        <v>1.53</v>
      </c>
      <c r="L18" s="88">
        <v>1.07</v>
      </c>
      <c r="M18" s="89">
        <v>1.23</v>
      </c>
      <c r="N18" s="91"/>
      <c r="O18" s="89" t="s">
        <v>271</v>
      </c>
      <c r="P18" s="84"/>
      <c r="Q18" s="88">
        <v>9</v>
      </c>
      <c r="R18" s="89">
        <v>6</v>
      </c>
      <c r="S18" s="84">
        <v>3</v>
      </c>
      <c r="T18" s="88">
        <v>14</v>
      </c>
      <c r="U18" s="88">
        <v>1</v>
      </c>
    </row>
    <row r="19" spans="4:21">
      <c r="D19" s="76" t="s">
        <v>396</v>
      </c>
      <c r="E19" s="76">
        <f>AVERAGE(B14,C15,D16,E17)</f>
        <v>1.10954833290256</v>
      </c>
      <c r="G19" s="76" t="s">
        <v>12</v>
      </c>
      <c r="H19" s="84"/>
      <c r="I19" s="88"/>
      <c r="J19" s="76">
        <v>1.27</v>
      </c>
      <c r="K19" s="84">
        <v>1.25</v>
      </c>
      <c r="L19" s="88">
        <v>0.74</v>
      </c>
      <c r="M19" s="76">
        <v>1.46</v>
      </c>
      <c r="N19" s="91"/>
      <c r="O19" s="76" t="s">
        <v>12</v>
      </c>
      <c r="P19" s="84"/>
      <c r="Q19" s="88"/>
      <c r="R19" s="76">
        <v>2</v>
      </c>
      <c r="S19" s="84">
        <v>1</v>
      </c>
      <c r="T19" s="88">
        <v>3</v>
      </c>
      <c r="U19" s="76">
        <v>5</v>
      </c>
    </row>
    <row r="22" spans="1:21">
      <c r="A22" s="76" t="s">
        <v>398</v>
      </c>
      <c r="B22" s="76" t="s">
        <v>25</v>
      </c>
      <c r="C22" s="76" t="s">
        <v>10</v>
      </c>
      <c r="D22" s="76" t="s">
        <v>11</v>
      </c>
      <c r="E22" s="76" t="s">
        <v>12</v>
      </c>
      <c r="G22" s="76" t="s">
        <v>393</v>
      </c>
      <c r="H22" s="83" t="s">
        <v>268</v>
      </c>
      <c r="I22" s="86" t="s">
        <v>269</v>
      </c>
      <c r="J22" s="76" t="s">
        <v>10</v>
      </c>
      <c r="K22" s="83" t="s">
        <v>270</v>
      </c>
      <c r="L22" s="86" t="s">
        <v>271</v>
      </c>
      <c r="M22" s="76" t="s">
        <v>12</v>
      </c>
      <c r="N22" s="91"/>
      <c r="O22" s="76" t="s">
        <v>394</v>
      </c>
      <c r="P22" s="83" t="s">
        <v>268</v>
      </c>
      <c r="Q22" s="86" t="s">
        <v>269</v>
      </c>
      <c r="R22" s="76" t="s">
        <v>10</v>
      </c>
      <c r="S22" s="83" t="s">
        <v>270</v>
      </c>
      <c r="T22" s="86" t="s">
        <v>271</v>
      </c>
      <c r="U22" s="76" t="s">
        <v>12</v>
      </c>
    </row>
    <row r="23" spans="1:21">
      <c r="A23" s="76" t="s">
        <v>25</v>
      </c>
      <c r="B23" s="76">
        <f>SUMPRODUCT(H23:I24,P23:Q24)/SUM(P23:Q24)</f>
        <v>1.02315068493151</v>
      </c>
      <c r="C23" s="76">
        <f>SUMPRODUCT(J23:J24,R23:R24)/SUM(R23:R24)</f>
        <v>0.81</v>
      </c>
      <c r="D23" s="76">
        <f>SUMPRODUCT(K23:L24,S23:T24)/SUM(S23:T24)</f>
        <v>0.896</v>
      </c>
      <c r="G23" s="83" t="s">
        <v>268</v>
      </c>
      <c r="H23" s="83">
        <v>1.16</v>
      </c>
      <c r="I23" s="86">
        <v>0.83</v>
      </c>
      <c r="J23" s="87">
        <v>0.81</v>
      </c>
      <c r="K23" s="83">
        <v>0.97</v>
      </c>
      <c r="L23" s="86"/>
      <c r="M23" s="87"/>
      <c r="N23" s="91"/>
      <c r="O23" s="87" t="s">
        <v>268</v>
      </c>
      <c r="P23" s="83">
        <v>37</v>
      </c>
      <c r="Q23" s="86">
        <v>12</v>
      </c>
      <c r="R23" s="87">
        <v>12</v>
      </c>
      <c r="S23" s="83">
        <v>2</v>
      </c>
      <c r="T23" s="86"/>
      <c r="U23" s="86"/>
    </row>
    <row r="24" spans="1:21">
      <c r="A24" s="76" t="s">
        <v>10</v>
      </c>
      <c r="B24" s="76">
        <f>SUMPRODUCT(H25:I25,P25:Q25)/SUM(P25:Q25)</f>
        <v>1.22666666666667</v>
      </c>
      <c r="C24" s="76">
        <f>J25</f>
        <v>0.77</v>
      </c>
      <c r="D24" s="76">
        <f>K25</f>
        <v>0.73</v>
      </c>
      <c r="G24" s="84" t="s">
        <v>269</v>
      </c>
      <c r="H24" s="84">
        <v>1.04</v>
      </c>
      <c r="I24" s="88">
        <v>0.89</v>
      </c>
      <c r="J24" s="89">
        <v>0.81</v>
      </c>
      <c r="K24" s="84">
        <v>1</v>
      </c>
      <c r="L24" s="88">
        <v>0.54</v>
      </c>
      <c r="M24" s="89"/>
      <c r="N24" s="91"/>
      <c r="O24" s="89" t="s">
        <v>269</v>
      </c>
      <c r="P24" s="84">
        <v>3</v>
      </c>
      <c r="Q24" s="88">
        <v>21</v>
      </c>
      <c r="R24" s="89">
        <v>10</v>
      </c>
      <c r="S24" s="84">
        <v>2</v>
      </c>
      <c r="T24" s="88">
        <v>1</v>
      </c>
      <c r="U24" s="88"/>
    </row>
    <row r="25" spans="1:20">
      <c r="A25" s="76" t="s">
        <v>11</v>
      </c>
      <c r="B25" s="76">
        <f>SUMPRODUCT(H26:I27,P26:Q27)/SUM(P26:Q27)</f>
        <v>1.07130434782609</v>
      </c>
      <c r="C25" s="76">
        <f>SUMPRODUCT(J26:J27,R26:R27)/SUM(R26:R27)</f>
        <v>0.841578947368421</v>
      </c>
      <c r="D25" s="80">
        <f>SUMPRODUCT(K26:L27,S26:T27)/SUM(S26:T27)</f>
        <v>0.854716981132075</v>
      </c>
      <c r="E25" s="76">
        <f>M27</f>
        <v>1.71</v>
      </c>
      <c r="G25" s="76" t="s">
        <v>10</v>
      </c>
      <c r="H25" s="85">
        <v>1.44</v>
      </c>
      <c r="I25" s="90">
        <v>1.12</v>
      </c>
      <c r="J25" s="76">
        <v>0.77</v>
      </c>
      <c r="K25" s="85">
        <v>0.73</v>
      </c>
      <c r="L25" s="90"/>
      <c r="N25" s="91"/>
      <c r="O25" s="76" t="s">
        <v>10</v>
      </c>
      <c r="P25" s="85">
        <v>1</v>
      </c>
      <c r="Q25" s="90">
        <v>2</v>
      </c>
      <c r="R25" s="76">
        <v>73</v>
      </c>
      <c r="S25" s="85">
        <v>2</v>
      </c>
      <c r="T25" s="90"/>
    </row>
    <row r="26" spans="1:21">
      <c r="A26" s="76" t="s">
        <v>12</v>
      </c>
      <c r="C26" s="76">
        <f>J28</f>
        <v>1.34</v>
      </c>
      <c r="D26" s="76">
        <f>SUMPRODUCT(K28:L28,S28:T28)/SUM(S28:T28)</f>
        <v>1.0875</v>
      </c>
      <c r="E26" s="76">
        <f>M28</f>
        <v>1.13</v>
      </c>
      <c r="G26" s="83" t="s">
        <v>270</v>
      </c>
      <c r="H26" s="83">
        <v>1.09</v>
      </c>
      <c r="I26" s="86">
        <v>0.92</v>
      </c>
      <c r="J26" s="87">
        <v>0.93</v>
      </c>
      <c r="K26" s="83">
        <v>0.81</v>
      </c>
      <c r="L26" s="86">
        <v>0.54</v>
      </c>
      <c r="M26" s="87"/>
      <c r="N26" s="91"/>
      <c r="O26" s="87" t="s">
        <v>270</v>
      </c>
      <c r="P26" s="83">
        <v>12</v>
      </c>
      <c r="Q26" s="86">
        <v>2</v>
      </c>
      <c r="R26" s="87">
        <v>13</v>
      </c>
      <c r="S26" s="83">
        <v>35</v>
      </c>
      <c r="T26" s="86">
        <v>1</v>
      </c>
      <c r="U26" s="86"/>
    </row>
    <row r="27" spans="4:21">
      <c r="D27" s="76" t="s">
        <v>395</v>
      </c>
      <c r="E27" s="76">
        <f>AVERAGE(B23:E26)</f>
        <v>1.03776289445575</v>
      </c>
      <c r="G27" s="84" t="s">
        <v>271</v>
      </c>
      <c r="H27" s="84"/>
      <c r="I27" s="88">
        <v>1.08</v>
      </c>
      <c r="J27" s="89">
        <v>0.65</v>
      </c>
      <c r="K27" s="84">
        <v>0.85</v>
      </c>
      <c r="L27" s="88">
        <v>0.99</v>
      </c>
      <c r="M27" s="89">
        <v>1.71</v>
      </c>
      <c r="N27" s="91"/>
      <c r="O27" s="89" t="s">
        <v>271</v>
      </c>
      <c r="P27" s="84"/>
      <c r="Q27" s="88">
        <v>9</v>
      </c>
      <c r="R27" s="89">
        <v>6</v>
      </c>
      <c r="S27" s="84">
        <v>3</v>
      </c>
      <c r="T27" s="88">
        <v>14</v>
      </c>
      <c r="U27" s="88">
        <v>1</v>
      </c>
    </row>
    <row r="28" spans="4:21">
      <c r="D28" s="76" t="s">
        <v>396</v>
      </c>
      <c r="E28" s="76">
        <f>AVERAGE(B23,C24,D25,E26)</f>
        <v>0.944466916515896</v>
      </c>
      <c r="G28" s="76" t="s">
        <v>12</v>
      </c>
      <c r="H28" s="84"/>
      <c r="I28" s="88"/>
      <c r="J28" s="76">
        <v>1.34</v>
      </c>
      <c r="K28" s="84">
        <v>1.38</v>
      </c>
      <c r="L28" s="88">
        <v>0.99</v>
      </c>
      <c r="M28" s="76">
        <v>1.13</v>
      </c>
      <c r="N28" s="91"/>
      <c r="O28" s="76" t="s">
        <v>12</v>
      </c>
      <c r="P28" s="84"/>
      <c r="Q28" s="88"/>
      <c r="R28" s="76">
        <v>2</v>
      </c>
      <c r="S28" s="84">
        <v>1</v>
      </c>
      <c r="T28" s="88">
        <v>3</v>
      </c>
      <c r="U28" s="76">
        <v>5</v>
      </c>
    </row>
    <row r="30" spans="1:1">
      <c r="A30" s="76" t="s">
        <v>399</v>
      </c>
    </row>
    <row r="31" ht="12.6" spans="1:1">
      <c r="A31" s="77" t="s">
        <v>400</v>
      </c>
    </row>
    <row r="32" ht="26.4" spans="1:3">
      <c r="A32" s="76" t="s">
        <v>392</v>
      </c>
      <c r="B32" s="81" t="s">
        <v>401</v>
      </c>
      <c r="C32" s="81" t="s">
        <v>402</v>
      </c>
    </row>
    <row r="33" spans="1:3">
      <c r="A33" s="76" t="s">
        <v>403</v>
      </c>
      <c r="B33" s="79">
        <v>0.882208588957055</v>
      </c>
      <c r="C33" s="79">
        <v>0.16441717791411</v>
      </c>
    </row>
    <row r="34" spans="1:3">
      <c r="A34" s="76" t="s">
        <v>404</v>
      </c>
      <c r="B34" s="79">
        <v>0.825153374233129</v>
      </c>
      <c r="C34" s="79">
        <v>0.307975460122699</v>
      </c>
    </row>
    <row r="35" spans="1:3">
      <c r="A35" s="76" t="s">
        <v>405</v>
      </c>
      <c r="B35" s="79">
        <v>0.679754601226993</v>
      </c>
      <c r="C35" s="79">
        <v>0.453374233128834</v>
      </c>
    </row>
    <row r="36" spans="2:3">
      <c r="B36" s="79">
        <v>0.574846625766871</v>
      </c>
      <c r="C36" s="79">
        <v>0.552760736196319</v>
      </c>
    </row>
    <row r="37" spans="2:3">
      <c r="B37" s="79">
        <v>0.539877300613496</v>
      </c>
      <c r="C37" s="79">
        <v>0.670552147239263</v>
      </c>
    </row>
    <row r="38" spans="2:3">
      <c r="B38" s="79">
        <v>0.46441717791411</v>
      </c>
      <c r="C38" s="79">
        <v>0.747852760736196</v>
      </c>
    </row>
    <row r="39" spans="2:3">
      <c r="B39" s="79">
        <v>0.414723926380368</v>
      </c>
      <c r="C39" s="79">
        <v>0.821472392638036</v>
      </c>
    </row>
    <row r="40" spans="2:3">
      <c r="B40" s="79">
        <v>0.377914110429447</v>
      </c>
      <c r="C40" s="79">
        <v>0.882208588957055</v>
      </c>
    </row>
    <row r="41" spans="2:3">
      <c r="B41" s="79">
        <v>0.339263803680981</v>
      </c>
      <c r="C41" s="79">
        <v>0.928220858895705</v>
      </c>
    </row>
    <row r="42" spans="1:3">
      <c r="A42" s="76" t="s">
        <v>406</v>
      </c>
      <c r="B42" s="79">
        <v>0.335582822085889</v>
      </c>
      <c r="C42" s="79">
        <v>0.987116564417178</v>
      </c>
    </row>
    <row r="43" spans="2:3">
      <c r="B43" s="82"/>
      <c r="C43" s="82"/>
    </row>
    <row r="44" spans="1:2">
      <c r="A44" s="76" t="s">
        <v>407</v>
      </c>
      <c r="B44" s="76" t="s">
        <v>408</v>
      </c>
    </row>
    <row r="45" ht="12.6" spans="1:1">
      <c r="A45" s="77" t="s">
        <v>409</v>
      </c>
    </row>
    <row r="46" spans="1:9">
      <c r="A46" s="76" t="s">
        <v>410</v>
      </c>
      <c r="B46" s="76" t="s">
        <v>411</v>
      </c>
      <c r="C46" s="76" t="s">
        <v>412</v>
      </c>
      <c r="G46" s="76" t="s">
        <v>413</v>
      </c>
      <c r="H46" s="76" t="s">
        <v>411</v>
      </c>
      <c r="I46" s="76" t="s">
        <v>412</v>
      </c>
    </row>
    <row r="47" spans="1:9">
      <c r="A47" s="76" t="s">
        <v>414</v>
      </c>
      <c r="B47" s="76">
        <v>1</v>
      </c>
      <c r="C47" s="76">
        <v>1</v>
      </c>
      <c r="G47" s="76" t="s">
        <v>414</v>
      </c>
      <c r="H47" s="76">
        <v>1</v>
      </c>
      <c r="I47" s="76">
        <v>1</v>
      </c>
    </row>
    <row r="48" spans="1:9">
      <c r="A48" s="76" t="s">
        <v>415</v>
      </c>
      <c r="B48" s="76">
        <v>1.12227074235807</v>
      </c>
      <c r="C48" s="76">
        <v>3.47598253275108</v>
      </c>
      <c r="G48" s="76" t="s">
        <v>415</v>
      </c>
      <c r="H48" s="76">
        <v>0.971462998293</v>
      </c>
      <c r="I48" s="76">
        <v>4.20471934933226</v>
      </c>
    </row>
    <row r="49" spans="1:9">
      <c r="A49" s="76" t="s">
        <v>405</v>
      </c>
      <c r="B49" s="76">
        <v>1.21397379912663</v>
      </c>
      <c r="C49" s="76">
        <v>4.57641921397379</v>
      </c>
      <c r="G49" s="76" t="s">
        <v>405</v>
      </c>
      <c r="H49" s="76">
        <v>1.14125112963148</v>
      </c>
      <c r="I49" s="76">
        <v>3.097314991465</v>
      </c>
    </row>
    <row r="50" spans="2:9">
      <c r="B50" s="76">
        <v>1.24454148471615</v>
      </c>
      <c r="C50" s="76">
        <v>8.18340611353711</v>
      </c>
      <c r="H50" s="76">
        <v>1.05232252234159</v>
      </c>
      <c r="I50" s="76">
        <v>4.05925092880811</v>
      </c>
    </row>
    <row r="51" spans="2:9">
      <c r="B51" s="76">
        <v>1.03056768558951</v>
      </c>
      <c r="C51" s="76">
        <v>9.28384279475982</v>
      </c>
      <c r="H51" s="76">
        <v>1.15738929611406</v>
      </c>
      <c r="I51" s="76">
        <v>5.60311677879305</v>
      </c>
    </row>
    <row r="53" spans="1:2">
      <c r="A53" s="76" t="s">
        <v>416</v>
      </c>
      <c r="B53" s="76" t="s">
        <v>417</v>
      </c>
    </row>
    <row r="54" ht="12.6" spans="1:1">
      <c r="A54" s="77" t="s">
        <v>387</v>
      </c>
    </row>
    <row r="55" spans="1:7">
      <c r="A55" s="76" t="s">
        <v>413</v>
      </c>
      <c r="B55" s="79" t="s">
        <v>418</v>
      </c>
      <c r="C55" s="76" t="s">
        <v>419</v>
      </c>
      <c r="D55" s="76" t="s">
        <v>420</v>
      </c>
      <c r="E55" s="79" t="s">
        <v>421</v>
      </c>
      <c r="G55" s="76" t="s">
        <v>422</v>
      </c>
    </row>
    <row r="56" spans="1:7">
      <c r="A56" s="76" t="s">
        <v>423</v>
      </c>
      <c r="B56" s="79">
        <v>0.64</v>
      </c>
      <c r="C56" s="76">
        <v>0.72</v>
      </c>
      <c r="D56" s="76">
        <v>0.73</v>
      </c>
      <c r="E56" s="79">
        <v>0.85</v>
      </c>
      <c r="G56" s="76">
        <v>0.85</v>
      </c>
    </row>
    <row r="57" spans="1:7">
      <c r="A57" s="76" t="s">
        <v>424</v>
      </c>
      <c r="B57" s="79">
        <v>0.35</v>
      </c>
      <c r="C57" s="76">
        <v>0.39</v>
      </c>
      <c r="D57" s="76">
        <v>0.41</v>
      </c>
      <c r="E57" s="79">
        <v>0.91</v>
      </c>
      <c r="G57" s="76">
        <v>0.91</v>
      </c>
    </row>
    <row r="58" spans="1:7">
      <c r="A58" s="76" t="s">
        <v>425</v>
      </c>
      <c r="B58" s="76">
        <v>0.56</v>
      </c>
      <c r="C58" s="76">
        <v>0.54</v>
      </c>
      <c r="D58" s="76">
        <v>0.57</v>
      </c>
      <c r="E58" s="76">
        <v>1.12</v>
      </c>
      <c r="G58" s="76">
        <v>1.11</v>
      </c>
    </row>
    <row r="63" spans="1:1">
      <c r="A63" s="76" t="s">
        <v>426</v>
      </c>
    </row>
    <row r="64" ht="12.6" spans="1:1">
      <c r="A64" s="77" t="s">
        <v>427</v>
      </c>
    </row>
    <row r="66" spans="1:9">
      <c r="A66" s="76" t="s">
        <v>410</v>
      </c>
      <c r="B66" s="79" t="s">
        <v>428</v>
      </c>
      <c r="C66" s="79" t="s">
        <v>429</v>
      </c>
      <c r="D66" s="79" t="s">
        <v>430</v>
      </c>
      <c r="E66" s="79" t="s">
        <v>431</v>
      </c>
      <c r="F66" s="79"/>
      <c r="G66" s="79" t="s">
        <v>432</v>
      </c>
      <c r="H66" s="79" t="s">
        <v>433</v>
      </c>
      <c r="I66" s="79" t="s">
        <v>434</v>
      </c>
    </row>
    <row r="67" spans="1:9">
      <c r="A67" s="76" t="s">
        <v>403</v>
      </c>
      <c r="B67" s="79">
        <v>0.609504132231404</v>
      </c>
      <c r="C67" s="79">
        <v>0.34090909090909</v>
      </c>
      <c r="D67" s="79">
        <v>0.289256198347107</v>
      </c>
      <c r="E67" s="79">
        <v>0.464757709251101</v>
      </c>
      <c r="F67" s="79"/>
      <c r="G67" s="79">
        <v>0.162995594713656</v>
      </c>
      <c r="H67" s="79">
        <v>0.100896860986547</v>
      </c>
      <c r="I67" s="79">
        <v>0.334080717488789</v>
      </c>
    </row>
    <row r="68" spans="1:9">
      <c r="A68" s="76" t="s">
        <v>404</v>
      </c>
      <c r="B68" s="79">
        <v>0.836776859504132</v>
      </c>
      <c r="C68" s="79">
        <v>0.700413223140495</v>
      </c>
      <c r="D68" s="79">
        <v>0.683884297520661</v>
      </c>
      <c r="E68" s="79">
        <v>0.702643171806167</v>
      </c>
      <c r="F68" s="79"/>
      <c r="G68" s="79">
        <v>0.337004405286343</v>
      </c>
      <c r="H68" s="79">
        <v>0.208520179372197</v>
      </c>
      <c r="I68" s="79">
        <v>0.551569506726457</v>
      </c>
    </row>
    <row r="69" spans="1:9">
      <c r="A69" s="76" t="s">
        <v>405</v>
      </c>
      <c r="B69" s="79">
        <v>0.81198347107438</v>
      </c>
      <c r="C69" s="79">
        <v>0.832644628099173</v>
      </c>
      <c r="D69" s="79">
        <v>0.969008264462809</v>
      </c>
      <c r="E69" s="79">
        <v>0.74669603524229</v>
      </c>
      <c r="F69" s="79"/>
      <c r="G69" s="79">
        <v>0.522026431718061</v>
      </c>
      <c r="H69" s="79">
        <v>0.340807174887892</v>
      </c>
      <c r="I69" s="79">
        <v>0.679372197309417</v>
      </c>
    </row>
    <row r="70" spans="2:9">
      <c r="B70" s="79">
        <v>0.789256198347107</v>
      </c>
      <c r="C70" s="79">
        <v>0.909090909090909</v>
      </c>
      <c r="D70" s="79">
        <v>0.942148760330578</v>
      </c>
      <c r="E70" s="79">
        <v>0.788546255506608</v>
      </c>
      <c r="F70" s="79"/>
      <c r="G70" s="79">
        <v>0.685022026431718</v>
      </c>
      <c r="H70" s="79">
        <v>0.470852017937219</v>
      </c>
      <c r="I70" s="79">
        <v>0.692825112107623</v>
      </c>
    </row>
    <row r="71" spans="2:9">
      <c r="B71" s="79">
        <v>0.84090909090909</v>
      </c>
      <c r="C71" s="79">
        <v>0.890495867768595</v>
      </c>
      <c r="D71" s="79">
        <v>0.84297520661157</v>
      </c>
      <c r="E71" s="79">
        <v>0.874449339207048</v>
      </c>
      <c r="F71" s="79"/>
      <c r="G71" s="79">
        <v>0.865638766519823</v>
      </c>
      <c r="H71" s="79">
        <v>0.612107623318385</v>
      </c>
      <c r="I71" s="79">
        <v>0.798206278026905</v>
      </c>
    </row>
    <row r="72" spans="2:9">
      <c r="B72" s="79">
        <v>0.909090909090909</v>
      </c>
      <c r="C72" s="79">
        <v>0.869834710743801</v>
      </c>
      <c r="D72" s="79">
        <v>0.743801652892562</v>
      </c>
      <c r="E72" s="79">
        <v>0.854625550660792</v>
      </c>
      <c r="F72" s="79"/>
      <c r="G72" s="79">
        <v>0.929515418502202</v>
      </c>
      <c r="H72" s="79">
        <v>0.724215246636771</v>
      </c>
      <c r="I72" s="79">
        <v>0.789237668161435</v>
      </c>
    </row>
    <row r="73" spans="2:9">
      <c r="B73" s="79">
        <v>0.902892561983471</v>
      </c>
      <c r="C73" s="79">
        <v>0.838842975206611</v>
      </c>
      <c r="D73" s="79">
        <v>0.683884297520661</v>
      </c>
      <c r="E73" s="79">
        <v>0.839207048458149</v>
      </c>
      <c r="F73" s="79"/>
      <c r="G73" s="79">
        <v>0.929515418502202</v>
      </c>
      <c r="H73" s="79">
        <v>0.820627802690583</v>
      </c>
      <c r="I73" s="79">
        <v>0.827354260089686</v>
      </c>
    </row>
    <row r="74" spans="2:9">
      <c r="B74" s="79">
        <v>0.754132231404958</v>
      </c>
      <c r="C74" s="79">
        <v>0.900826446280991</v>
      </c>
      <c r="D74" s="79">
        <v>0.646694214876033</v>
      </c>
      <c r="E74" s="79">
        <v>0.68942731277533</v>
      </c>
      <c r="F74" s="79"/>
      <c r="G74" s="79">
        <v>0.940528634361233</v>
      </c>
      <c r="H74" s="79">
        <v>0.914798206278027</v>
      </c>
      <c r="I74" s="79">
        <v>0.874439461883408</v>
      </c>
    </row>
    <row r="75" spans="2:9">
      <c r="B75" s="79">
        <v>0.789256198347107</v>
      </c>
      <c r="C75" s="79">
        <v>0.87190082644628</v>
      </c>
      <c r="D75" s="79">
        <v>0.597107438016528</v>
      </c>
      <c r="E75" s="79">
        <v>0.667400881057268</v>
      </c>
      <c r="F75" s="79"/>
      <c r="G75" s="79">
        <v>0.881057268722466</v>
      </c>
      <c r="H75" s="79">
        <v>0.970852017937219</v>
      </c>
      <c r="I75" s="79">
        <v>0.970852017937219</v>
      </c>
    </row>
    <row r="76" spans="1:9">
      <c r="A76" s="76" t="s">
        <v>406</v>
      </c>
      <c r="B76" s="79">
        <v>0.706611570247933</v>
      </c>
      <c r="C76" s="79">
        <v>0.849173553719008</v>
      </c>
      <c r="D76" s="79">
        <v>0.700413223140495</v>
      </c>
      <c r="E76" s="79">
        <v>0.605726872246696</v>
      </c>
      <c r="F76" s="79"/>
      <c r="G76" s="79">
        <v>0.748898678414097</v>
      </c>
      <c r="H76" s="79">
        <v>0.977578475336323</v>
      </c>
      <c r="I76" s="79">
        <v>0.977578475336323</v>
      </c>
    </row>
    <row r="77" spans="1:9">
      <c r="A77" s="76" t="s">
        <v>435</v>
      </c>
      <c r="B77" s="76">
        <v>0.390495867768595</v>
      </c>
      <c r="C77" s="76">
        <v>0.328512396694214</v>
      </c>
      <c r="D77" s="76">
        <v>0.225206611570247</v>
      </c>
      <c r="E77" s="76">
        <v>0.45374449339207</v>
      </c>
      <c r="G77" s="76">
        <v>0.178414096916299</v>
      </c>
      <c r="H77" s="76">
        <v>0.179372197309417</v>
      </c>
      <c r="I77" s="76">
        <v>0.376681614349775</v>
      </c>
    </row>
    <row r="81" spans="2:5">
      <c r="B81" s="76" t="s">
        <v>436</v>
      </c>
      <c r="C81" s="76" t="s">
        <v>437</v>
      </c>
      <c r="D81" s="76" t="s">
        <v>438</v>
      </c>
      <c r="E81" s="76" t="s">
        <v>439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2015-06-09T03:17:00Z</dcterms:created>
  <dcterms:modified xsi:type="dcterms:W3CDTF">2020-05-29T00:41:31Z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