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80" windowHeight="7130" tabRatio="490" firstSheet="2" activeTab="3"/>
  </bookViews>
  <sheets>
    <sheet name="pop" sheetId="1" r:id="rId1"/>
    <sheet name="cnn" sheetId="3" r:id="rId2"/>
    <sheet name="ctsp" sheetId="8" r:id="rId3"/>
    <sheet name="fr+epsp" sheetId="4" r:id="rId4"/>
    <sheet name="tau_syn" sheetId="5" r:id="rId5"/>
    <sheet name="TC" sheetId="13" r:id="rId6"/>
    <sheet name="gap" sheetId="7" r:id="rId7"/>
    <sheet name="ipsp" sheetId="15" r:id="rId8"/>
    <sheet name="stp" sheetId="16" r:id="rId9"/>
    <sheet name="etc." sheetId="14" r:id="rId10"/>
  </sheets>
  <calcPr calcId="144525"/>
</workbook>
</file>

<file path=xl/comments1.xml><?xml version="1.0" encoding="utf-8"?>
<comments xmlns="http://schemas.openxmlformats.org/spreadsheetml/2006/main">
  <authors>
    <author>hanjia</author>
  </authors>
  <commentList>
    <comment ref="F21" authorId="0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  <author>hanjia</author>
  </authors>
  <commentList>
    <comment ref="A1" authorId="0">
      <text>
        <r>
          <rPr>
            <sz val="9"/>
            <color rgb="FF000000"/>
            <rFont val="Tahoma"/>
            <charset val="134"/>
          </rPr>
          <t>HanJia:
References:
1. The Excitatory Neuronal Network
of the C2 Barrel Column
in Mouse Primary Somatosensory Cortex
2. Activity-dependent properties of synaptic transmission at two classes of connections made by rat neocortical pyramidal axons in vitro</t>
        </r>
      </text>
    </comment>
    <comment ref="C3" authorId="0">
      <text>
        <r>
          <rPr>
            <sz val="9"/>
            <color rgb="FF000000"/>
            <rFont val="Tahoma"/>
            <charset val="134"/>
          </rPr>
          <t>HanJia:
Efficacy and connectivity of intracolumnar pairs of layer
2/3 pyramidal cells in the barrel cortex of juvenile rats</t>
        </r>
      </text>
    </comment>
    <comment ref="C4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
(says there's little depression in PV in vivo)</t>
        </r>
      </text>
    </comment>
    <comment ref="C5" authorId="0">
      <text>
        <r>
          <rPr>
            <sz val="11"/>
            <color rgb="FF000000"/>
            <rFont val="PMingLiU"/>
            <charset val="134"/>
          </rPr>
          <t>In Vivo Measurement of Cell-Type-Specific Synaptic
Connectivity and Synaptic Transmission in Layer 2/3
Mouse Barrel Cortex</t>
        </r>
      </text>
    </comment>
    <comment ref="H7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7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S7" authorId="0">
      <text>
        <r>
          <rPr>
            <sz val="11"/>
            <color rgb="FF000000"/>
            <rFont val="PMingLiU"/>
            <charset val="134"/>
          </rPr>
          <t>Cortex Is Driven by Weak but Synchronously Active Thalamocortical
Synapses</t>
        </r>
      </text>
    </comment>
    <comment ref="T7" authorId="1">
      <text>
        <r>
          <rPr>
            <b/>
            <sz val="9"/>
            <rFont val="Times New Roman"/>
            <charset val="134"/>
          </rPr>
          <t>hanjia:</t>
        </r>
        <r>
          <rPr>
            <sz val="9"/>
            <rFont val="Times New Roman"/>
            <charset val="134"/>
          </rPr>
          <t xml:space="preserve">
Efficacy of Thalamocortical and Intracortical Synaptic Connections: Quanta, Innervation, and Reliability</t>
        </r>
      </text>
    </comment>
    <comment ref="H8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I8" authorId="0">
      <text>
        <r>
          <rPr>
            <sz val="11"/>
            <color rgb="FF000000"/>
            <rFont val="PMingLiU"/>
            <charset val="134"/>
          </rPr>
          <t>1. Neocortical Somatostatin-Expressing GABAergic Interneurons Disinhibit the Thalamorecipient Layer 4
2. Short-Term Plasticity of Unitary Inhibitory-to-Inhibitory
Synapses Depends on the Presynaptic Interneuron Subtype</t>
        </r>
      </text>
    </comment>
    <comment ref="G9" authorId="0">
      <text>
        <r>
          <rPr>
            <sz val="11"/>
            <color rgb="FF000000"/>
            <rFont val="PMingLiU"/>
            <charset val="134"/>
          </rPr>
          <t>Neocortical Somatostatin-Expressing GABAergic Interneurons Disinhibit the Thalamorecipient Layer 4</t>
        </r>
      </text>
    </comment>
    <comment ref="H9" authorId="0">
      <text>
        <r>
          <rPr>
            <sz val="11"/>
            <color rgb="FF000000"/>
            <rFont val="PMingLiU"/>
            <charset val="134"/>
          </rPr>
          <t>Short-Term Plasticity of Unitary Inhibitory-to-Inhibitory
Synapses Depends on the Presynaptic Interneuron Subtype</t>
        </r>
      </text>
    </comment>
    <comment ref="T9" authorId="0">
      <text>
        <r>
          <rPr>
            <sz val="9"/>
            <color rgb="FF000000"/>
            <rFont val="Tahoma"/>
            <charset val="134"/>
          </rPr>
          <t xml:space="preserve">HanJia:
ratio of PV/SOM
</t>
        </r>
      </text>
    </comment>
    <comment ref="T11" authorId="0">
      <text>
        <r>
          <rPr>
            <sz val="11"/>
            <color rgb="FF000000"/>
            <rFont val="PMingLiU"/>
            <charset val="134"/>
          </rPr>
          <t>c.v., std/mu of  IPSP</t>
        </r>
      </text>
    </comment>
    <comment ref="F71" authorId="1">
      <text>
        <r>
          <rPr>
            <b/>
            <sz val="9"/>
            <rFont val="Times New Roman"/>
            <charset val="0"/>
          </rPr>
          <t>hanjia:</t>
        </r>
        <r>
          <rPr>
            <sz val="9"/>
            <rFont val="Times New Roman"/>
            <charset val="0"/>
          </rPr>
          <t xml:space="preserve">
try: 10/19=0.5263</t>
        </r>
      </text>
    </comment>
  </commentList>
</comments>
</file>

<file path=xl/sharedStrings.xml><?xml version="1.0" encoding="utf-8"?>
<sst xmlns="http://schemas.openxmlformats.org/spreadsheetml/2006/main" count="1139" uniqueCount="490">
  <si>
    <t>INs Ratios</t>
  </si>
  <si>
    <t>1. Xu_2010_Immunochemical Characterization of Inhibitory MouseCortical Neurons Three Chemically Distinct Classes ofInhibitory Cells</t>
  </si>
  <si>
    <t>Density (cells/mm2)</t>
  </si>
  <si>
    <t>GABA</t>
  </si>
  <si>
    <t>PV</t>
  </si>
  <si>
    <t>SOM</t>
  </si>
  <si>
    <t>VIP</t>
  </si>
  <si>
    <t>Ratio (%)</t>
  </si>
  <si>
    <t>sum</t>
  </si>
  <si>
    <t>L23</t>
  </si>
  <si>
    <t>L4</t>
  </si>
  <si>
    <t>L5</t>
  </si>
  <si>
    <t>L6</t>
  </si>
  <si>
    <t>2. Lee, Rudy_2010_The Largest Group of Superficial Neocortical GABAergic Interneurons Expresses Ionotropic Serotonin Receptors</t>
  </si>
  <si>
    <t>Rat column dimensions</t>
  </si>
  <si>
    <t>Meyer_2011_Inhibitory interneurons in a cortical column form hot zones of inhibition in layers 2 and 5A</t>
  </si>
  <si>
    <t>Cell number estimation (ratio by Xu)</t>
  </si>
  <si>
    <t>(round-up for 8 clusters)</t>
  </si>
  <si>
    <t>PC</t>
  </si>
  <si>
    <t>PV, etc.</t>
  </si>
  <si>
    <t>(ratio by Lee, Rudy)</t>
  </si>
  <si>
    <t>E/I ratio</t>
  </si>
  <si>
    <t xml:space="preserve">Mouse column dimensions </t>
  </si>
  <si>
    <t>The excitatory neuronal network of the C2 barrel column in mouse primary somatosensory cortex.</t>
  </si>
  <si>
    <t>Cell number estimation (ratio by Lee, Rudy)</t>
  </si>
  <si>
    <t>L2/3</t>
  </si>
  <si>
    <t>layer thickness</t>
  </si>
  <si>
    <t>add up</t>
  </si>
  <si>
    <t>item</t>
  </si>
  <si>
    <t>article</t>
  </si>
  <si>
    <t>note</t>
  </si>
  <si>
    <t>(i) 88/950 , 
10/183, 
22/182, 
96/513</t>
  </si>
  <si>
    <t>(b) 43%</t>
  </si>
  <si>
    <t>(j) 35/56</t>
  </si>
  <si>
    <t>(n) 3/58</t>
  </si>
  <si>
    <t>(i) 25/208, 
25/172</t>
  </si>
  <si>
    <t>(f) 6/12</t>
  </si>
  <si>
    <t>(i) 9/209,
2/89,
1/104,
3/167</t>
  </si>
  <si>
    <t xml:space="preserve">(*a) 7/69  </t>
  </si>
  <si>
    <t>(a) 21/100</t>
  </si>
  <si>
    <t>(i) 0/50,
0/64</t>
  </si>
  <si>
    <t>a</t>
  </si>
  <si>
    <t>Principles of connectivity among morphologically defined cell types in adult neocortex</t>
  </si>
  <si>
    <t>V1, intra=141, inter=150</t>
  </si>
  <si>
    <t>(c) 23/45</t>
  </si>
  <si>
    <r>
      <rPr>
        <b/>
        <sz val="11"/>
        <color rgb="FF808080"/>
        <rFont val="新細明體"/>
        <charset val="136"/>
      </rPr>
      <t xml:space="preserve">(a) 168/359 </t>
    </r>
    <r>
      <rPr>
        <b/>
        <sz val="11"/>
        <rFont val="新細明體"/>
        <charset val="136"/>
      </rPr>
      <t>(n) 17/44</t>
    </r>
  </si>
  <si>
    <t>(j) 9/31 (n) 4/36</t>
  </si>
  <si>
    <t>(n) 2/30</t>
  </si>
  <si>
    <t>(f) 1/10</t>
  </si>
  <si>
    <t>(a) 5/173</t>
  </si>
  <si>
    <t>(a) 24/110</t>
  </si>
  <si>
    <t>(a) 31/123</t>
  </si>
  <si>
    <t>b</t>
  </si>
  <si>
    <t>Dense, Unspecific Connectivity of Neocortical Parvalbumin-Positive Interneurons: A Canonical Microcircuit for Inhibition</t>
  </si>
  <si>
    <t>S1 or Frontal, 141 (200/sqrt(2))</t>
  </si>
  <si>
    <t>(c) 18/59</t>
  </si>
  <si>
    <r>
      <rPr>
        <b/>
        <sz val="11"/>
        <color rgb="FF808080"/>
        <rFont val="新細明體"/>
        <charset val="136"/>
      </rPr>
      <t xml:space="preserve">(a) 16/88
</t>
    </r>
    <r>
      <rPr>
        <b/>
        <sz val="11"/>
        <color theme="1" tint="-0.5"/>
        <rFont val="新細明體"/>
        <charset val="136"/>
      </rPr>
      <t>(*g) 12/21 (n) 11/38</t>
    </r>
  </si>
  <si>
    <t>(n) 0/32</t>
  </si>
  <si>
    <r>
      <rPr>
        <b/>
        <sz val="11"/>
        <color theme="1" tint="-0.5"/>
        <rFont val="新細明體"/>
        <charset val="136"/>
      </rPr>
      <t xml:space="preserve">(*g) 11/31 (n) 18/45 </t>
    </r>
    <r>
      <rPr>
        <b/>
        <sz val="11"/>
        <color theme="2" tint="-0.5"/>
        <rFont val="新細明體"/>
        <charset val="136"/>
      </rPr>
      <t xml:space="preserve">(h) 10/19 (?) </t>
    </r>
  </si>
  <si>
    <t>(a) 1/40</t>
  </si>
  <si>
    <t>c</t>
  </si>
  <si>
    <t>In Vivo Measurement of Cell-Type-Specific Synaptic
Connectivity and Synaptic Transmission in Layer 2/3
Mouse Barrel Cortex</t>
  </si>
  <si>
    <t>S1, 88 (125/sqrt(2))</t>
  </si>
  <si>
    <t>(n) 5/28</t>
  </si>
  <si>
    <t>(n) 7/28</t>
  </si>
  <si>
    <t>(n) 27/48</t>
  </si>
  <si>
    <t>(n) 6/79</t>
  </si>
  <si>
    <t>d</t>
  </si>
  <si>
    <t>Barrel Cortex Microcircuits: Thalamocortical Feedforward Inhibition in Spiny Stellate Cells Is Mediated by a Small Number of Fast-Spiking Interneurons</t>
  </si>
  <si>
    <t>S1</t>
  </si>
  <si>
    <t>(i) 2/208,
4/170</t>
  </si>
  <si>
    <t>(i*) 254/1046 
(m)3/122</t>
  </si>
  <si>
    <t>(*k) 0.63</t>
  </si>
  <si>
    <t>(j) 31/89 (k*) 0.38
(m) 17/64</t>
  </si>
  <si>
    <t>(i) 2/275,
1/137</t>
  </si>
  <si>
    <t>(i) 0/94</t>
  </si>
  <si>
    <t>e</t>
  </si>
  <si>
    <t>Hu_2011_Submillisecond Firing Synchrony between Different Subtypes of Cortical Interneurons Connected Chemically But Not Electrically</t>
  </si>
  <si>
    <t>S1, 81 (115/sqrt(2))</t>
  </si>
  <si>
    <t>(f) 1/12</t>
  </si>
  <si>
    <t>(e)(13x,14-&gt;,17&lt;-&gt;)/44 (k*)0.48</t>
  </si>
  <si>
    <t>(j) 37/60
(e)10/30 (k*) 0.56</t>
  </si>
  <si>
    <t>f</t>
  </si>
  <si>
    <t>Synaptic Connections and Small Circuits Involving Excitatory and Inhibitory Neurons in Layers 2–5 of Adult Rat and Cat Neocortex: Triple Intracellular Recordings and Biocytin Labelling In Vitro</t>
  </si>
  <si>
    <t>(j) 12/30
(m*) 8/64</t>
  </si>
  <si>
    <t>(e) 5/30 (k*) 0.61</t>
  </si>
  <si>
    <t>(m) 2/52</t>
  </si>
  <si>
    <t>g</t>
  </si>
  <si>
    <t>Parvalbumin- and vasoactive intestinal
polypeptide-expressing neocortical interneurons
impose differential inhibition on Martinotti cells</t>
  </si>
  <si>
    <t>141 (200/sqrt(2))</t>
  </si>
  <si>
    <t>(i) 20/211,
9/108,
5/87,
20/164</t>
  </si>
  <si>
    <t>(a) 11/185</t>
  </si>
  <si>
    <t>(a) 6/74</t>
  </si>
  <si>
    <t>(i) 32/276,
11/136</t>
  </si>
  <si>
    <t>(i) 178/934,14/175,3/174,40/555</t>
  </si>
  <si>
    <t>(*a) 33/132 (b) 67%</t>
  </si>
  <si>
    <t>(*a) 24/114</t>
  </si>
  <si>
    <t>(i) 1/160,
2/100</t>
  </si>
  <si>
    <t>h</t>
  </si>
  <si>
    <t>Opening Holes in the Blanket of Inhibition: Localized Lateral
Disinhibition by VIP Interneurons</t>
  </si>
  <si>
    <t>S1 or V1</t>
  </si>
  <si>
    <t>(a) 5/63</t>
  </si>
  <si>
    <t>(a) 15/110</t>
  </si>
  <si>
    <t>(a) 2/40</t>
  </si>
  <si>
    <t>(a) 13/115</t>
  </si>
  <si>
    <t>(a) 32/67</t>
  </si>
  <si>
    <t>(a) 26/75</t>
  </si>
  <si>
    <t>i</t>
  </si>
  <si>
    <t>The Excitatory Neuronal Network of the C2 Barrel Column in Mouse Primary Somatosensory Cortex</t>
  </si>
  <si>
    <t>(a) 10/89</t>
  </si>
  <si>
    <t>(a) 1/123</t>
  </si>
  <si>
    <t>(a) 8/102</t>
  </si>
  <si>
    <t>(a) 12/76</t>
  </si>
  <si>
    <t>j</t>
  </si>
  <si>
    <t>Neocortical Somatostatin-Expressing GABAergic Interneurons Disinhibit the Thalamorecipient Layer 4</t>
  </si>
  <si>
    <t>(i) 0/50</t>
  </si>
  <si>
    <t>(i) 3/93</t>
  </si>
  <si>
    <t>(i) 5/158,
7/100</t>
  </si>
  <si>
    <t>(i) 15/532</t>
  </si>
  <si>
    <t>k</t>
  </si>
  <si>
    <t xml:space="preserve">
Short-Term Plasticity of Unitary Inhibitory-to-Inhibitory
Synapses Depends on the Presynaptic Interneuron Subtype
</t>
  </si>
  <si>
    <t>l</t>
  </si>
  <si>
    <t>Diversity and connectivity of layer 5 somatostatin-expressing interneurons in the mouse barrel cortex</t>
  </si>
  <si>
    <t>(subtypes, need checking)</t>
  </si>
  <si>
    <t>m</t>
  </si>
  <si>
    <t>Layer 4 of mouse neocortex differs in cell types and
circuit organization between sensory areas</t>
  </si>
  <si>
    <t>n</t>
  </si>
  <si>
    <t xml:space="preserve">Cooperative Subnetworks of Molecularly Similar
Interneurons in Mouse Neocortex
</t>
  </si>
  <si>
    <t>E</t>
  </si>
  <si>
    <t>grey: 
not S1</t>
  </si>
  <si>
    <t>blue: 
Allen Institute data</t>
  </si>
  <si>
    <t>green: estimate</t>
  </si>
  <si>
    <t>(layer crossed)</t>
  </si>
  <si>
    <t>(layer crossed++)</t>
  </si>
  <si>
    <t>(pooled)</t>
  </si>
  <si>
    <t>(VIP renewed)</t>
  </si>
  <si>
    <t>cell type</t>
  </si>
  <si>
    <t>R (MΩ)</t>
  </si>
  <si>
    <t>C (pF)</t>
  </si>
  <si>
    <t>tau (ms)</t>
  </si>
  <si>
    <t>Vrest (mV)</t>
  </si>
  <si>
    <t>Vth (mV)</t>
  </si>
  <si>
    <t>how old</t>
  </si>
  <si>
    <t>Unique functional properties of somatostatin-expressing GABAergic neurons in mouse barrel cortex</t>
  </si>
  <si>
    <r>
      <rPr>
        <b/>
        <sz val="11"/>
        <color rgb="FF0070C0"/>
        <rFont val="Arial"/>
        <charset val="134"/>
      </rPr>
      <t>L23</t>
    </r>
    <r>
      <rPr>
        <b/>
        <sz val="11"/>
        <color rgb="FF0070C0"/>
        <rFont val="Arial"/>
        <charset val="134"/>
      </rPr>
      <t xml:space="preserve"> </t>
    </r>
    <r>
      <rPr>
        <b/>
        <sz val="11"/>
        <color rgb="FF0070C0"/>
        <rFont val="Arial"/>
        <charset val="134"/>
      </rPr>
      <t>Excitatory</t>
    </r>
  </si>
  <si>
    <t>−41.0</t>
  </si>
  <si>
    <t>? Mouse</t>
  </si>
  <si>
    <t>(in vivo)</t>
  </si>
  <si>
    <r>
      <rPr>
        <b/>
        <sz val="11"/>
        <color rgb="FFC00000"/>
        <rFont val="Arial"/>
        <charset val="134"/>
      </rPr>
      <t>L23</t>
    </r>
    <r>
      <rPr>
        <b/>
        <sz val="11"/>
        <color rgb="FFC00000"/>
        <rFont val="Arial"/>
        <charset val="134"/>
      </rPr>
      <t xml:space="preserve"> </t>
    </r>
    <r>
      <rPr>
        <b/>
        <sz val="11"/>
        <color rgb="FFC00000"/>
        <rFont val="Arial"/>
        <charset val="134"/>
      </rPr>
      <t>FS</t>
    </r>
  </si>
  <si>
    <t>−40.5</t>
  </si>
  <si>
    <r>
      <rPr>
        <b/>
        <sz val="11"/>
        <color theme="5"/>
        <rFont val="Arial"/>
        <charset val="134"/>
      </rPr>
      <t>L23</t>
    </r>
    <r>
      <rPr>
        <b/>
        <sz val="11"/>
        <color theme="5"/>
        <rFont val="Arial"/>
        <charset val="134"/>
      </rPr>
      <t xml:space="preserve"> </t>
    </r>
    <r>
      <rPr>
        <b/>
        <sz val="11"/>
        <color theme="5"/>
        <rFont val="Arial"/>
        <charset val="134"/>
      </rPr>
      <t>SOM</t>
    </r>
  </si>
  <si>
    <t>−40.3</t>
  </si>
  <si>
    <t>L23 non-FS</t>
  </si>
  <si>
    <t>−41.2</t>
  </si>
  <si>
    <t>Contributions of Diverse Excitatory and Inhibitory Neurons
to Recurrent Network Activity in Cerebral Cortex</t>
  </si>
  <si>
    <t>L5 Pyr (RS)</t>
  </si>
  <si>
    <t>(ex vivo, barrel)</t>
  </si>
  <si>
    <t>L5 Pyr (IB)</t>
  </si>
  <si>
    <t>L2/3 Pyramidal</t>
  </si>
  <si>
    <t>L5 PV</t>
  </si>
  <si>
    <t>L2/3 PV</t>
  </si>
  <si>
    <t>L5 SOM</t>
  </si>
  <si>
    <t>L2/3 SOM</t>
  </si>
  <si>
    <t>L2/3 VIP</t>
  </si>
  <si>
    <t>Pyr avg</t>
  </si>
  <si>
    <t>PV avg</t>
  </si>
  <si>
    <t>SOM avg</t>
  </si>
  <si>
    <t>VIP avg</t>
  </si>
  <si>
    <t>Neocortical Somatostatin-Expressing
GABAergic Interneurons Disinhibit
the Thalamorecipient Layer 4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</si>
  <si>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(X94)</t>
    </r>
  </si>
  <si>
    <t>8.4</t>
  </si>
  <si>
    <t>~1 month (?) mouse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</si>
  <si>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SOM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(non-X94)</t>
    </r>
  </si>
  <si>
    <t>8.2</t>
  </si>
  <si>
    <r>
      <rPr>
        <sz val="11"/>
        <color theme="5"/>
        <rFont val="Arial"/>
        <charset val="134"/>
      </rPr>
      <t>L2/3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</si>
  <si>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17.7</t>
  </si>
  <si>
    <r>
      <rPr>
        <sz val="11"/>
        <color theme="5"/>
        <rFont val="Arial"/>
        <charset val="134"/>
      </rPr>
      <t>L5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Martinotti</t>
    </r>
  </si>
  <si>
    <t>21.6</t>
  </si>
  <si>
    <t>Morphological and Functional Characterization of
Non-fast-Spiking GABAergic Interneurons in Layer 4
Microcircuitry of Rat Barrel Cortex</t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</si>
  <si>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adapting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neurons</t>
    </r>
  </si>
  <si>
    <t>P17–21 rat</t>
  </si>
  <si>
    <t>(non-FS)</t>
  </si>
  <si>
    <r>
      <rPr>
        <sz val="11"/>
        <rFont val="Arial"/>
        <charset val="134"/>
      </rPr>
      <t>L4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irregular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spiking</t>
    </r>
    <r>
      <rPr>
        <sz val="11"/>
        <rFont val="Arial"/>
        <charset val="134"/>
      </rPr>
      <t xml:space="preserve"> </t>
    </r>
    <r>
      <rPr>
        <sz val="11"/>
        <rFont val="Arial"/>
        <charset val="134"/>
      </rPr>
      <t>neurons</t>
    </r>
  </si>
  <si>
    <t>L4 non-adapting neurons</t>
  </si>
  <si>
    <t>Differences in the Electrophysiological Properties of Mouse Somatosensory Layer 2/3 Neurons In Vivo and Slice Stem from Intrinsic Sources Rather than a Network-Generated High Conductance State</t>
  </si>
  <si>
    <t>15.0</t>
  </si>
  <si>
    <t>2~6 months mouse</t>
  </si>
  <si>
    <t>L2/3 Pyramidal (in vivo)</t>
  </si>
  <si>
    <t xml:space="preserve">Morphological, neurochemical and electrophysiological
features of parvalbumin-expressing cells: a likely source of
axo-axonic inputs in the mouse spinal dorsal horn
</t>
  </si>
  <si>
    <t>L1~3 random neurons (?)</t>
  </si>
  <si>
    <t>5~6 weeks mouse</t>
  </si>
  <si>
    <r>
      <rPr>
        <sz val="11"/>
        <color rgb="FFC00000"/>
        <rFont val="Arial"/>
        <charset val="134"/>
      </rPr>
      <t>L1~3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</si>
  <si>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Transcriptional and Electrophysiological Maturation of
Neocortical Fast-Spiking GABAergic Interneurons</t>
  </si>
  <si>
    <r>
      <rPr>
        <sz val="11"/>
        <color rgb="FFC00000"/>
        <rFont val="Arial"/>
        <charset val="134"/>
      </rPr>
      <t>L5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PV</t>
    </r>
  </si>
  <si>
    <t>p25</t>
  </si>
  <si>
    <t>Two Dynamically Distinct Inhibitory Networks in Layer 4 of the Neocortex</t>
  </si>
  <si>
    <t>L4 RS</t>
  </si>
  <si>
    <r>
      <rPr>
        <sz val="11"/>
        <color rgb="FFC00000"/>
        <rFont val="Arial"/>
        <charset val="134"/>
      </rPr>
      <t>L4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FS</t>
    </r>
  </si>
  <si>
    <r>
      <rPr>
        <sz val="11"/>
        <color theme="5"/>
        <rFont val="Arial"/>
        <charset val="134"/>
      </rPr>
      <t>L4</t>
    </r>
    <r>
      <rPr>
        <sz val="11"/>
        <color theme="5"/>
        <rFont val="Arial"/>
        <charset val="134"/>
      </rPr>
      <t xml:space="preserve"> </t>
    </r>
    <r>
      <rPr>
        <sz val="11"/>
        <color theme="5"/>
        <rFont val="Arial"/>
        <charset val="134"/>
      </rPr>
      <t>LTS</t>
    </r>
  </si>
  <si>
    <t>Layer- and subregion-specific differences in the neurophysiological properties of rat medial prefrontal cortex pyramidal neurons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</si>
  <si>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</si>
  <si>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-36.6 ± 0.8</t>
  </si>
  <si>
    <r>
      <rPr>
        <sz val="11"/>
        <color rgb="FF0070C0"/>
        <rFont val="Arial"/>
        <charset val="134"/>
      </rPr>
      <t>IL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</si>
  <si>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-31.9 ± 0.9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</si>
  <si>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L2/3</t>
    </r>
  </si>
  <si>
    <t>-33.9 ± 1.3</t>
  </si>
  <si>
    <r>
      <rPr>
        <sz val="11"/>
        <color rgb="FF0070C0"/>
        <rFont val="Arial"/>
        <charset val="134"/>
      </rPr>
      <t>PL</t>
    </r>
    <r>
      <rPr>
        <sz val="11"/>
        <color rgb="FF0070C0"/>
        <rFont val="Arial"/>
        <charset val="134"/>
      </rPr>
      <t xml:space="preserve"> </t>
    </r>
    <r>
      <rPr>
        <sz val="11"/>
        <color rgb="FF0070C0"/>
        <rFont val="Arial"/>
        <charset val="134"/>
      </rPr>
      <t>L5</t>
    </r>
  </si>
  <si>
    <t>-32.9 ± 0.9</t>
  </si>
  <si>
    <r>
      <rPr>
        <sz val="11"/>
        <color rgb="FF000000"/>
        <rFont val="Arial"/>
        <charset val="134"/>
      </rPr>
      <t>Diversity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and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Layer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5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Somatostatin-Expressing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Interneurons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in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the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Mouse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Barrel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Cortex</t>
    </r>
  </si>
  <si>
    <t>Fanning-out Martinotti</t>
  </si>
  <si>
    <t>(all L5 SOM cells)</t>
  </si>
  <si>
    <t>T-shaped Martinotti</t>
  </si>
  <si>
    <t>Non-Martinotti</t>
  </si>
  <si>
    <r>
      <rPr>
        <sz val="11"/>
        <color rgb="FF000000"/>
        <rFont val="Arial"/>
        <charset val="134"/>
      </rPr>
      <t>Principles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of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connectivity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among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morphologically</t>
    </r>
  </si>
  <si>
    <t>L23 Martinotti</t>
  </si>
  <si>
    <t>(ex vivo, visual)</t>
  </si>
  <si>
    <t>L5 Martinotti</t>
  </si>
  <si>
    <r>
      <rPr>
        <sz val="11"/>
        <color rgb="FFC00000"/>
        <rFont val="Arial"/>
        <charset val="134"/>
      </rPr>
      <t>L23</t>
    </r>
    <r>
      <rPr>
        <sz val="11"/>
        <color rgb="FFC00000"/>
        <rFont val="Arial"/>
        <charset val="134"/>
      </rPr>
      <t xml:space="preserve"> </t>
    </r>
    <r>
      <rPr>
        <sz val="11"/>
        <color rgb="FFC00000"/>
        <rFont val="Arial"/>
        <charset val="134"/>
      </rPr>
      <t>Basket</t>
    </r>
  </si>
  <si>
    <t>L5 Basket</t>
  </si>
  <si>
    <r>
      <rPr>
        <sz val="11"/>
        <color rgb="FF000000"/>
        <rFont val="Arial"/>
        <charset val="134"/>
      </rPr>
      <t>L23</t>
    </r>
    <r>
      <rPr>
        <sz val="11"/>
        <color rgb="FF000000"/>
        <rFont val="Arial"/>
        <charset val="134"/>
      </rPr>
      <t xml:space="preserve"> </t>
    </r>
    <r>
      <rPr>
        <sz val="11"/>
        <color rgb="FF000000"/>
        <rFont val="Arial"/>
        <charset val="134"/>
      </rPr>
      <t>BTC</t>
    </r>
  </si>
  <si>
    <t>L23 BPC</t>
  </si>
  <si>
    <t>L23 DBC</t>
  </si>
  <si>
    <t>(awake) Svoboda, 2019</t>
  </si>
  <si>
    <t>Cells</t>
  </si>
  <si>
    <t>Non-whisking</t>
  </si>
  <si>
    <t>SD</t>
  </si>
  <si>
    <t>SE</t>
  </si>
  <si>
    <t>low</t>
  </si>
  <si>
    <t>high</t>
  </si>
  <si>
    <t>Whisking</t>
  </si>
  <si>
    <t>simulation</t>
  </si>
  <si>
    <t>RMSE</t>
  </si>
  <si>
    <t>L23 E</t>
  </si>
  <si>
    <t>L23 FS</t>
  </si>
  <si>
    <t>L23 SOM</t>
  </si>
  <si>
    <t>L4 E</t>
  </si>
  <si>
    <t>L4 FS</t>
  </si>
  <si>
    <t>L4 SOM</t>
  </si>
  <si>
    <t>L5a E</t>
  </si>
  <si>
    <t>L5a FS</t>
  </si>
  <si>
    <t>L5a SOM</t>
  </si>
  <si>
    <t>L5b/6 E</t>
  </si>
  <si>
    <t>L5b/6 FS</t>
  </si>
  <si>
    <t>L5b/6 SOM</t>
  </si>
  <si>
    <t>Fmax</t>
  </si>
  <si>
    <t>fr</t>
  </si>
  <si>
    <t>m.p. (mV)</t>
  </si>
  <si>
    <t>(awake quiet) Unique functional properties of somatostatin-expressing GABAergic neurons in mouse barrel cortex</t>
  </si>
  <si>
    <t>109 ± 9</t>
  </si>
  <si>
    <t>6.3 ± 0.6</t>
  </si>
  <si>
    <t>−47.2 ± 0.6</t>
  </si>
  <si>
    <t>159 ± 11</t>
  </si>
  <si>
    <t>9.4 ± 2.1</t>
  </si>
  <si>
    <t>−54.8 ± 1.9</t>
  </si>
  <si>
    <t>L23 NFS</t>
  </si>
  <si>
    <t>65 ± 4</t>
  </si>
  <si>
    <t>3.7 ± 0.7</t>
  </si>
  <si>
    <t>−54.1 ± 0.7</t>
  </si>
  <si>
    <t>L23 Excitatory</t>
  </si>
  <si>
    <t>28 ± 3</t>
  </si>
  <si>
    <t>0.4 ± 0.1</t>
  </si>
  <si>
    <t>−61.8 ± 0.8</t>
  </si>
  <si>
    <t>(awake quiet) Spiking in primary somatosensory cortex during natural whisking in awake head-restrained rats is cell-type specific</t>
  </si>
  <si>
    <t>L5 slender</t>
  </si>
  <si>
    <t>L5 thick</t>
  </si>
  <si>
    <t xml:space="preserve">Lefort et al., 2009, The Excitatory Neuronal Network of the C2 Barrel Column in Mouse Primary Somatosensory Cortex
</t>
  </si>
  <si>
    <t>grey: estimated</t>
  </si>
  <si>
    <t>uEPSP mean</t>
  </si>
  <si>
    <t>average:</t>
  </si>
  <si>
    <t>uEPSP std</t>
  </si>
  <si>
    <t>sd ratios</t>
  </si>
  <si>
    <t>raw data</t>
  </si>
  <si>
    <t>mean</t>
  </si>
  <si>
    <t>L2</t>
  </si>
  <si>
    <t>L3</t>
  </si>
  <si>
    <t>L5a</t>
  </si>
  <si>
    <t>L5b</t>
  </si>
  <si>
    <t>std^2</t>
  </si>
  <si>
    <t>SEM</t>
  </si>
  <si>
    <t>sample n</t>
  </si>
  <si>
    <t>average EPSP</t>
  </si>
  <si>
    <t>n-1</t>
  </si>
  <si>
    <t>pooled s.d.</t>
  </si>
  <si>
    <t>relative:</t>
  </si>
  <si>
    <t>temperature</t>
  </si>
  <si>
    <t>E-→E</t>
  </si>
  <si>
    <t>E-→I</t>
  </si>
  <si>
    <t>I--&gt;E</t>
  </si>
  <si>
    <t>I--&gt;I</t>
  </si>
  <si>
    <t>subject</t>
  </si>
  <si>
    <t>Properties of excitatory synaptic connections mediated by the corpus callosum in the developing rat neocortex</t>
  </si>
  <si>
    <t>32±1</t>
  </si>
  <si>
    <t>4.2±0.6 
(non-NMDA)</t>
  </si>
  <si>
    <t>rat neocortex L5 pyr 13~21d</t>
  </si>
  <si>
    <t>Postsynaptic Glutamate Receptors and Integrative Properties of
Fast-Spiking Interneurons in the Rat Neocortex</t>
  </si>
  <si>
    <t>30~33</t>
  </si>
  <si>
    <t>2±0.8 (n=16) (AMPA)</t>
  </si>
  <si>
    <t>rat motor 14~35d</t>
  </si>
  <si>
    <t>Synaptic connections between layer 4 spiny neurone–
layer 2/3 pyramidal cell pairs in juvenile rat barrel cortex physiology and anatomy of interlaminar signalling within a
cortical column</t>
  </si>
  <si>
    <r>
      <rPr>
        <b/>
        <sz val="11"/>
        <color rgb="FF000000"/>
        <rFont val="Arial"/>
        <charset val="134"/>
      </rPr>
      <t>1.97</t>
    </r>
    <r>
      <rPr>
        <sz val="11"/>
        <color rgb="FF000000"/>
        <rFont val="Arial"/>
        <charset val="134"/>
      </rPr>
      <t xml:space="preserve"> (AMPA), 
</t>
    </r>
    <r>
      <rPr>
        <b/>
        <sz val="11"/>
        <color rgb="FF000000"/>
        <rFont val="Arial"/>
        <charset val="134"/>
      </rPr>
      <t>2.37</t>
    </r>
    <r>
      <rPr>
        <sz val="11"/>
        <color rgb="FF000000"/>
        <rFont val="Arial"/>
        <charset val="134"/>
      </rPr>
      <t xml:space="preserve"> (AMPA &amp; NMDA)</t>
    </r>
  </si>
  <si>
    <t>rat barrel 17~23d</t>
  </si>
  <si>
    <t>(single-exponential)</t>
  </si>
  <si>
    <t>Estimating the Time Course of the Excitatory Synaptic
Conductance in Neocortical Pyramidal Cells Using a Novel
Voltage Jump Method</t>
  </si>
  <si>
    <t>1.74±0.18 (AMPA)</t>
  </si>
  <si>
    <t>rat somatosensory 14~18d</t>
  </si>
  <si>
    <t>Properties of mEPSCs recorded in layer II neurones of rat barrel cortex</t>
  </si>
  <si>
    <t>33±1</t>
  </si>
  <si>
    <t>half-width=
1.073±0.532 
so tau = 1.548
(AMPA)</t>
  </si>
  <si>
    <t>rat barrel 12~17d</t>
  </si>
  <si>
    <t>Different glutamate receptor channels mediate fast excitatory synaptic currents in inhibitory and excitatory cortical neurons</t>
  </si>
  <si>
    <t>room temperature</t>
  </si>
  <si>
    <t>rat visual L2/3 10~25d</t>
  </si>
  <si>
    <t>AMPA receptor-mediated EPSCs in rat neocortical layer II/III interneurons have rapid kinetics</t>
  </si>
  <si>
    <t>22±1</t>
  </si>
  <si>
    <t>1.1±0.14(fast) 
4±0.5 (slow) 
(non-NMDA)</t>
  </si>
  <si>
    <t>rat frontal 15~21d</t>
  </si>
  <si>
    <t>Rapid Kinetics and Inward Rectification of Miniature EPSCs in Layer
I Neurons of Rat Neocortex</t>
  </si>
  <si>
    <t>1.2 (fast) 
4(slow)</t>
  </si>
  <si>
    <t>rat frontal 14~20d</t>
  </si>
  <si>
    <t>Organizing Principles for a
Diversity of GABAergic
Interneurons and Synapses in
the Neocortex</t>
  </si>
  <si>
    <t>32~34</t>
  </si>
  <si>
    <r>
      <rPr>
        <sz val="11"/>
        <color rgb="FF000000"/>
        <rFont val="Arial"/>
        <charset val="134"/>
      </rPr>
      <t xml:space="preserve">F1=10.41 
</t>
    </r>
    <r>
      <rPr>
        <b/>
        <sz val="11"/>
        <color rgb="FF000000"/>
        <rFont val="Arial"/>
        <charset val="134"/>
      </rPr>
      <t>F2=8.3</t>
    </r>
    <r>
      <rPr>
        <sz val="11"/>
        <color rgb="FF000000"/>
        <rFont val="Arial"/>
        <charset val="134"/>
      </rPr>
      <t xml:space="preserve"> 
F3=6.44</t>
    </r>
  </si>
  <si>
    <t>rat somatosensory 13~16d</t>
  </si>
  <si>
    <t xml:space="preserve">Spontaneous GABAA receptor-mediated inhibitory currents in adult rat somatosensory cortex
</t>
  </si>
  <si>
    <t>8.6±1.3 (GABAa)</t>
  </si>
  <si>
    <t>rat somatosensory 28~48d</t>
  </si>
  <si>
    <t>Synaptic Inhibition of Pyramidal Cells Evoked by Different Interneuronal Subtypes in Layer V of Rat Visual Cortex</t>
  </si>
  <si>
    <t>32~33</t>
  </si>
  <si>
    <t>FS-Pyr: 12.5±0.8 
LTS-Pyr: 9.4±1.6 (GABAa)</t>
  </si>
  <si>
    <t>rat visual 12~15d</t>
  </si>
  <si>
    <t>GABAA receptor-mediated currents in interneurons
and pyramidal cells of rat visual cortex</t>
  </si>
  <si>
    <t>31±1</t>
  </si>
  <si>
    <t>6.4±0.4(11~14 days) 
4.6±0.6(36~42 days)</t>
  </si>
  <si>
    <t>6.5±0.6(11~14 days) 
4.3±0.7(36~42 days)</t>
  </si>
  <si>
    <t>rat visual</t>
  </si>
  <si>
    <t>Short-Term Plasticity of Unitary Inhibitory-to-Inhibitory Synapses Depends on the Presynaptic Interneuron
 Subtype</t>
  </si>
  <si>
    <t>2.84±0.17 (SOM--&gt;FS)
4.31±0.37 (SOM--&gt;RS)
2.46±0.25 (FS--&gt;SOM)
2.26±0.2 (FS--&gt;FS)
3.90±0.24 (FS--&gt;RS)</t>
  </si>
  <si>
    <t>mouse somatosensory 15~23d</t>
  </si>
  <si>
    <t>Connection probability</t>
  </si>
  <si>
    <t>to L4 Exc.</t>
  </si>
  <si>
    <t>to L4 Inh.</t>
  </si>
  <si>
    <t>https://www.jneurosci.org/content/22/24/10966.short</t>
  </si>
  <si>
    <t>Synapse (bouton) number distribution</t>
  </si>
  <si>
    <t>syn. n/cell</t>
  </si>
  <si>
    <t>relative</t>
  </si>
  <si>
    <t>Exc. conn. prob. estimate</t>
  </si>
  <si>
    <t>Inh.</t>
  </si>
  <si>
    <t>https://academic.oup.com/cercor/article/22/10/2375/289513</t>
  </si>
  <si>
    <t>uPSP estimation</t>
  </si>
  <si>
    <t>PSP/cell</t>
  </si>
  <si>
    <t>PSP/syn</t>
  </si>
  <si>
    <t>uPSP estimate</t>
  </si>
  <si>
    <t>L2/3 Exc</t>
  </si>
  <si>
    <t>L4 Exc</t>
  </si>
  <si>
    <t>L5 Exc</t>
  </si>
  <si>
    <t>L6 Exc</t>
  </si>
  <si>
    <t>L4 PV</t>
  </si>
  <si>
    <t>L6 PV</t>
  </si>
  <si>
    <t>https://elifesciences.org/articles/52665</t>
  </si>
  <si>
    <t>Exc. conn.</t>
  </si>
  <si>
    <t>(fig. 2G)</t>
  </si>
  <si>
    <t>http://www.sciencemag.org/cgi/pmidlookup?view=long&amp;pmid=23812718</t>
  </si>
  <si>
    <t>Cell type</t>
  </si>
  <si>
    <t>layer</t>
  </si>
  <si>
    <t>connection probability</t>
  </si>
  <si>
    <t>coupling coefficient (DC, AP)</t>
  </si>
  <si>
    <t>recording range (μm)</t>
  </si>
  <si>
    <t>FS (PV) cells</t>
  </si>
  <si>
    <t>61.5% (24/39)</t>
  </si>
  <si>
    <t>7%, 1%</t>
  </si>
  <si>
    <t>P14~P21 (rat)</t>
  </si>
  <si>
    <t>Two networks of electrically coupled inhibitory neurons in neocortex, Gibson, 1999</t>
  </si>
  <si>
    <t>57.1% (4/7)</t>
  </si>
  <si>
    <t>A network of electrically coupled interneurons drives synchronized inhibition in neocortex, Beierlein, 2000</t>
  </si>
  <si>
    <t>mainly L5 (L2~L5)</t>
  </si>
  <si>
    <t>61.0% (14/23)</t>
  </si>
  <si>
    <t>1.53%, 0.51%</t>
  </si>
  <si>
    <t>39 (13~92)</t>
  </si>
  <si>
    <t>2~7 months (mice)</t>
  </si>
  <si>
    <t>Electrical and chemical synapses among parvalbumin fast-spiking GABAergic interneurons in adult mouse neocortex</t>
  </si>
  <si>
    <t>LTS cells</t>
  </si>
  <si>
    <t>84.6% (11/13)</t>
  </si>
  <si>
    <t>56.2% (9/16)</t>
  </si>
  <si>
    <t>P14~P21</t>
  </si>
  <si>
    <t>SOM cells</t>
  </si>
  <si>
    <t>23.5% (8/34)</t>
  </si>
  <si>
    <t>&gt;2 months (mice)</t>
  </si>
  <si>
    <t>Neocortical layer 4 in adult mouse differs in major cell types and circuit organization between primary sensory areas, Scala, 2018</t>
  </si>
  <si>
    <t>L4 (nMC)</t>
  </si>
  <si>
    <t>30.7% (8/26)</t>
  </si>
  <si>
    <t>IPSP mean</t>
  </si>
  <si>
    <t>Exc</t>
  </si>
  <si>
    <t>IPSP s.d.</t>
  </si>
  <si>
    <t>s.d./mean</t>
  </si>
  <si>
    <t>data from:</t>
  </si>
  <si>
    <t xml:space="preserve">Short-Term Plasticity of Unitary Inhibitory-to-Inhibitory
Synapses Depends on the Presynaptic Interneuron Subtype
</t>
  </si>
  <si>
    <t xml:space="preserve">Layer-Dependent Short-Term Synaptic Plasticity Between Excitatory Neurons in the C2 Barrel Column of Mouse Primary Somatosensory Cortex </t>
  </si>
  <si>
    <t>https://doi.org/10.1093/cercor/bhx094</t>
  </si>
  <si>
    <t>S1, all layers Exc</t>
  </si>
  <si>
    <t>(previous-EPSP-subtracted)</t>
  </si>
  <si>
    <t>10 ms</t>
  </si>
  <si>
    <t>(raw)</t>
  </si>
  <si>
    <t>(n)</t>
  </si>
  <si>
    <t>avg_all</t>
  </si>
  <si>
    <t>avg_intra</t>
  </si>
  <si>
    <t>30 ms</t>
  </si>
  <si>
    <t>100 ms</t>
  </si>
  <si>
    <t>S1, L2/3, L5</t>
  </si>
  <si>
    <t>Supralinear increase of recurrent inhibition during sparse activity in the somatosensory cortex</t>
  </si>
  <si>
    <t>Exc to PV
(L2/3)</t>
  </si>
  <si>
    <t>Exc to SOM
(L2/3, L5?)</t>
  </si>
  <si>
    <t>dep. 1</t>
  </si>
  <si>
    <t>dep. 2</t>
  </si>
  <si>
    <t>...</t>
  </si>
  <si>
    <t>dep. 10</t>
  </si>
  <si>
    <t>S1, L2/3</t>
  </si>
  <si>
    <t>(PV: constant baseline; SOM: exponential baseline)</t>
  </si>
  <si>
    <t>In Vivo Measurement of Cell-Type-Specific Synaptic Connectivity and Synaptic Transmission in Layer 2/3 Mouse Barrel Cortex</t>
  </si>
  <si>
    <t>20 ms</t>
  </si>
  <si>
    <t>Exc to PV</t>
  </si>
  <si>
    <t>Exc to SOM</t>
  </si>
  <si>
    <t>50 ms</t>
  </si>
  <si>
    <t>PPR 1</t>
  </si>
  <si>
    <t>PPR 2</t>
  </si>
  <si>
    <t>S1, L4</t>
  </si>
  <si>
    <t>(EPSP how?)</t>
  </si>
  <si>
    <t>FS-RS</t>
  </si>
  <si>
    <t>FS-FS</t>
  </si>
  <si>
    <t>FS-SOM</t>
  </si>
  <si>
    <t>SOM-RS</t>
  </si>
  <si>
    <t>SOM-FS</t>
  </si>
  <si>
    <t>PPR1</t>
  </si>
  <si>
    <t>average(PPR7, PPR8)</t>
  </si>
  <si>
    <t>PPR recover 500ms</t>
  </si>
  <si>
    <t>V1, S1, L2/3</t>
  </si>
  <si>
    <t>Cooperative Subnetworks of Molecularly Similar Interneurons in Mouse Neocortex</t>
  </si>
  <si>
    <t>PV-PV</t>
  </si>
  <si>
    <t>PV-SOM</t>
  </si>
  <si>
    <t>PV-VIP</t>
  </si>
  <si>
    <t>SOM-PV</t>
  </si>
  <si>
    <t>SOM-VIP</t>
  </si>
  <si>
    <t>VIP-SOM</t>
  </si>
  <si>
    <t>VIP-VIP</t>
  </si>
  <si>
    <t>dep. recover 500ms</t>
  </si>
  <si>
    <t>Exc-VIP</t>
  </si>
  <si>
    <t>SOM-SOM</t>
  </si>
  <si>
    <t>VIP-Exc</t>
  </si>
  <si>
    <t>VIP-PV</t>
  </si>
  <si>
    <t>uPSP (mV)</t>
  </si>
  <si>
    <t>bold: in vivo</t>
  </si>
  <si>
    <t>Thalamus</t>
  </si>
  <si>
    <t>1.0±0.7(-60 mV)</t>
  </si>
  <si>
    <t>0.41±0.42(Up)
0.48±0.33(Down)</t>
  </si>
  <si>
    <t>0.38±0.36(Up) 
0.32±0.42(Down)</t>
  </si>
  <si>
    <t>(d) 456 pA</t>
  </si>
  <si>
    <t>(d) 275 pA</t>
  </si>
  <si>
    <t>(c) 1.59±1.51</t>
  </si>
  <si>
    <r>
      <rPr>
        <sz val="11"/>
        <color theme="1" tint="-0.5"/>
        <rFont val="Arial"/>
        <charset val="136"/>
      </rPr>
      <t xml:space="preserve">(b) 2.70±0.68
</t>
    </r>
    <r>
      <rPr>
        <b/>
        <sz val="11"/>
        <color theme="1" tint="-0.5"/>
        <rFont val="Arial"/>
        <charset val="136"/>
      </rPr>
      <t>(f) 0.93±0.81</t>
    </r>
  </si>
  <si>
    <t>(a) 0.64±0.11 
(b) 1.04±0.18</t>
  </si>
  <si>
    <t>0.49±0.13</t>
  </si>
  <si>
    <t>(f) 1.8 ± 1.7</t>
  </si>
  <si>
    <t>(b) 1.79±0.19</t>
  </si>
  <si>
    <t>(a) 1.54±0.29 
(b) 1.38±0.22</t>
  </si>
  <si>
    <t>(a) 0.32±0.05 mV</t>
  </si>
  <si>
    <t>(b) 1.82±0.33</t>
  </si>
  <si>
    <t>(e) 0.72 ± 0.11</t>
  </si>
  <si>
    <t>V_hold</t>
  </si>
  <si>
    <t>Short-Term Plasticity of Unitary Inhibitory-to-Inhibitory Synapses Depends on the Presynaptic Interneuron Subtype</t>
  </si>
  <si>
    <t>Reliable synaptic connections between pairs of excitatory layer 4 neurones within a single ‘barrel’ of developing rat somatosensory cortex</t>
  </si>
  <si>
    <t>Parvalbumin- and vasoactive intestinal polypeptide-expressing neocortical interneurons impose differential inhibition on Martinotti cells</t>
  </si>
  <si>
    <t>I: -55.0, E: -69.7</t>
  </si>
  <si>
    <t>A Barrel-Related Interneuron in Layer 4 of Rat Somatosensory Cortex with
a High Intrabarrel Connectivity</t>
  </si>
  <si>
    <t>Allen Institute conn. data</t>
  </si>
  <si>
    <t>pv</t>
  </si>
  <si>
    <t>som</t>
  </si>
  <si>
    <t>vip</t>
  </si>
  <si>
    <t xml:space="preserve">Allen (V1) </t>
  </si>
  <si>
    <t>(not using)</t>
  </si>
  <si>
    <t>pre L2/3</t>
  </si>
  <si>
    <t>pre L4</t>
  </si>
  <si>
    <t>pre L5</t>
  </si>
  <si>
    <t>pre L6</t>
  </si>
  <si>
    <t>post L2/3</t>
  </si>
  <si>
    <t>post L4</t>
  </si>
  <si>
    <t>post L5</t>
  </si>
  <si>
    <t>post L6</t>
  </si>
  <si>
    <t>https://www.frontiersin.org/articles/10.3389/fnana.2016.00124/full</t>
  </si>
  <si>
    <t>https://onlinelibrary.wiley.com/doi/abs/10.1002/(SICI)1096-9861(19960401)367:2%3C194::AID-CNE3%3E3.0.CO;2-0</t>
  </si>
  <si>
    <t>https://onlinelibrary.wiley.com/doi/abs/10.1111/j.1460-9568.1997.tb01644.x</t>
  </si>
  <si>
    <t>https://onlinelibrary.wiley.com/doi/abs/10.1046/j.1460-9568.2002.02048.x</t>
  </si>
</sst>
</file>

<file path=xl/styles.xml><?xml version="1.0" encoding="utf-8"?>
<styleSheet xmlns="http://schemas.openxmlformats.org/spreadsheetml/2006/main">
  <numFmts count="13">
    <numFmt numFmtId="176" formatCode="0.000"/>
    <numFmt numFmtId="177" formatCode="0_ "/>
    <numFmt numFmtId="178" formatCode="0.0_ "/>
    <numFmt numFmtId="179" formatCode="0.000000000000000\ "/>
    <numFmt numFmtId="44" formatCode="_(&quot;$&quot;* #,##0.00_);_(&quot;$&quot;* \(#,##0.00\);_(&quot;$&quot;* &quot;-&quot;??_);_(@_)"/>
    <numFmt numFmtId="180" formatCode="0.00_ "/>
    <numFmt numFmtId="181" formatCode="_ * #,##0_ ;_ * \-#,##0_ ;_ * &quot;-&quot;_ ;_ @_ "/>
    <numFmt numFmtId="42" formatCode="_(&quot;$&quot;* #,##0_);_(&quot;$&quot;* \(#,##0\);_(&quot;$&quot;* &quot;-&quot;_);_(@_)"/>
    <numFmt numFmtId="182" formatCode="0.000_ "/>
    <numFmt numFmtId="183" formatCode="0.0000_ "/>
    <numFmt numFmtId="184" formatCode="0.0000"/>
    <numFmt numFmtId="185" formatCode="_ * #,##0.00_ ;_ * \-#,##0.00_ ;_ * &quot;-&quot;??_ ;_ @_ "/>
    <numFmt numFmtId="186" formatCode="0.00\ ;[Red]\(0.00\)"/>
  </numFmts>
  <fonts count="104">
    <font>
      <sz val="11"/>
      <color rgb="FF000000"/>
      <name val="新細明體"/>
      <charset val="134"/>
    </font>
    <font>
      <b/>
      <sz val="11"/>
      <color rgb="FF000000"/>
      <name val="Arial"/>
      <charset val="134"/>
    </font>
    <font>
      <sz val="11"/>
      <color rgb="FF000000"/>
      <name val="Arial"/>
      <charset val="134"/>
    </font>
    <font>
      <b/>
      <sz val="11"/>
      <name val="Arial"/>
      <charset val="134"/>
    </font>
    <font>
      <b/>
      <sz val="11"/>
      <color rgb="FFA6A6A6"/>
      <name val="Arial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Arial"/>
      <charset val="134"/>
    </font>
    <font>
      <b/>
      <sz val="11"/>
      <color rgb="FFFF0000"/>
      <name val="Arial"/>
      <charset val="134"/>
    </font>
    <font>
      <sz val="11"/>
      <color theme="1" tint="-0.5"/>
      <name val="Arial"/>
      <charset val="136"/>
    </font>
    <font>
      <b/>
      <sz val="11"/>
      <color rgb="FF7F7F7F"/>
      <name val="Arial"/>
      <charset val="134"/>
    </font>
    <font>
      <b/>
      <sz val="11"/>
      <color rgb="FF000000"/>
      <name val="新細明體"/>
      <charset val="134"/>
    </font>
    <font>
      <b/>
      <sz val="11"/>
      <color rgb="FF000000"/>
      <name val="新細明體"/>
      <charset val="136"/>
    </font>
    <font>
      <b/>
      <sz val="11"/>
      <color theme="1"/>
      <name val="新細明體"/>
      <charset val="136"/>
    </font>
    <font>
      <b/>
      <sz val="11"/>
      <color rgb="FF0070C0"/>
      <name val="新細明體"/>
      <charset val="136"/>
    </font>
    <font>
      <u/>
      <sz val="11"/>
      <color rgb="FF800080"/>
      <name val="新細明體"/>
      <charset val="134"/>
    </font>
    <font>
      <b/>
      <sz val="11"/>
      <color rgb="FF7F7F7F"/>
      <name val="新細明體"/>
      <charset val="136"/>
    </font>
    <font>
      <sz val="11"/>
      <color rgb="FF000000"/>
      <name val="Noto Mono"/>
      <charset val="134"/>
    </font>
    <font>
      <u/>
      <sz val="11"/>
      <color rgb="FF0563C1"/>
      <name val="新細明體"/>
      <charset val="134"/>
    </font>
    <font>
      <sz val="11"/>
      <color rgb="FFFF0000"/>
      <name val="Noto Mono"/>
      <charset val="134"/>
    </font>
    <font>
      <sz val="11"/>
      <color theme="2" tint="-0.9"/>
      <name val="Noto Mono"/>
      <charset val="134"/>
    </font>
    <font>
      <sz val="11"/>
      <color rgb="FF000000"/>
      <name val="Calibri"/>
      <charset val="134"/>
      <scheme val="minor"/>
    </font>
    <font>
      <sz val="11"/>
      <color theme="2" tint="-0.5"/>
      <name val="Calibri"/>
      <charset val="134"/>
      <scheme val="minor"/>
    </font>
    <font>
      <u/>
      <sz val="11"/>
      <color rgb="FF0563C1"/>
      <name val="Calibri"/>
      <charset val="134"/>
      <scheme val="minor"/>
    </font>
    <font>
      <sz val="14"/>
      <color rgb="FF000000"/>
      <name val="新細明體"/>
      <charset val="134"/>
    </font>
    <font>
      <u/>
      <sz val="14"/>
      <color rgb="FF800080"/>
      <name val="新細明體"/>
      <charset val="134"/>
    </font>
    <font>
      <b/>
      <sz val="14"/>
      <color rgb="FF000000"/>
      <name val="新細明體"/>
      <charset val="134"/>
    </font>
    <font>
      <u/>
      <sz val="11"/>
      <color rgb="FF800080"/>
      <name val="Arial"/>
      <charset val="134"/>
    </font>
    <font>
      <sz val="11"/>
      <color rgb="FFFF0000"/>
      <name val="Arial"/>
      <charset val="136"/>
    </font>
    <font>
      <sz val="11"/>
      <name val="Arial"/>
      <charset val="136"/>
    </font>
    <font>
      <sz val="11"/>
      <color rgb="FF000000"/>
      <name val="Ubuntu"/>
      <charset val="134"/>
    </font>
    <font>
      <b/>
      <sz val="11"/>
      <color rgb="FF000000"/>
      <name val="Ubuntu"/>
      <charset val="134"/>
    </font>
    <font>
      <b/>
      <sz val="11"/>
      <color rgb="FF0070C0"/>
      <name val="Ubuntu"/>
      <charset val="134"/>
    </font>
    <font>
      <b/>
      <sz val="11"/>
      <color rgb="FF0070C0"/>
      <name val="Ubuntu"/>
      <charset val="136"/>
    </font>
    <font>
      <sz val="11"/>
      <color rgb="FF0070C0"/>
      <name val="Ubuntu"/>
      <charset val="136"/>
    </font>
    <font>
      <b/>
      <sz val="11"/>
      <color rgb="FFC00000"/>
      <name val="Ubuntu"/>
      <charset val="134"/>
    </font>
    <font>
      <b/>
      <sz val="11"/>
      <color rgb="FFC00000"/>
      <name val="Ubuntu"/>
      <charset val="136"/>
    </font>
    <font>
      <sz val="11"/>
      <color rgb="FFC00000"/>
      <name val="Ubuntu"/>
      <charset val="136"/>
    </font>
    <font>
      <b/>
      <sz val="11"/>
      <color theme="5"/>
      <name val="Ubuntu"/>
      <charset val="134"/>
    </font>
    <font>
      <b/>
      <sz val="11"/>
      <color rgb="FF00B050"/>
      <name val="Ubuntu"/>
      <charset val="136"/>
    </font>
    <font>
      <sz val="11"/>
      <color rgb="FF00B050"/>
      <name val="Ubuntu"/>
      <charset val="136"/>
    </font>
    <font>
      <b/>
      <sz val="11"/>
      <color rgb="FF00B050"/>
      <name val="Ubuntu"/>
      <charset val="134"/>
    </font>
    <font>
      <b/>
      <sz val="11"/>
      <color theme="7" tint="-0.25"/>
      <name val="Ubuntu"/>
      <charset val="136"/>
    </font>
    <font>
      <sz val="11"/>
      <color theme="7" tint="-0.25"/>
      <name val="Ubuntu"/>
      <charset val="136"/>
    </font>
    <font>
      <b/>
      <sz val="11"/>
      <color theme="5"/>
      <name val="Ubuntu"/>
      <charset val="136"/>
    </font>
    <font>
      <sz val="11"/>
      <color rgb="FF000000"/>
      <name val="Ubuntu"/>
      <charset val="136"/>
    </font>
    <font>
      <sz val="11"/>
      <color theme="2" tint="-0.5"/>
      <name val="Ubuntu"/>
      <charset val="134"/>
    </font>
    <font>
      <b/>
      <sz val="11"/>
      <color rgb="FFFF0000"/>
      <name val="Ubuntu"/>
      <charset val="134"/>
    </font>
    <font>
      <b/>
      <sz val="11"/>
      <color theme="7" tint="-0.25"/>
      <name val="Ubuntu"/>
      <charset val="134"/>
    </font>
    <font>
      <b/>
      <sz val="11"/>
      <color rgb="FFFF0000"/>
      <name val="Ubuntu"/>
      <charset val="136"/>
    </font>
    <font>
      <sz val="11"/>
      <color rgb="FF0070C0"/>
      <name val="Ubuntu"/>
      <charset val="134"/>
    </font>
    <font>
      <sz val="11"/>
      <color rgb="FFC00000"/>
      <name val="Ubuntu"/>
      <charset val="134"/>
    </font>
    <font>
      <sz val="11"/>
      <color rgb="FF00B050"/>
      <name val="Ubuntu"/>
      <charset val="134"/>
    </font>
    <font>
      <sz val="11"/>
      <color theme="7" tint="-0.25"/>
      <name val="Ubuntu"/>
      <charset val="134"/>
    </font>
    <font>
      <b/>
      <sz val="11"/>
      <color rgb="FF0070C0"/>
      <name val="Arial"/>
      <charset val="134"/>
    </font>
    <font>
      <b/>
      <sz val="11"/>
      <color rgb="FFC00000"/>
      <name val="Arial"/>
      <charset val="134"/>
    </font>
    <font>
      <b/>
      <sz val="11"/>
      <color theme="5"/>
      <name val="Arial"/>
      <charset val="134"/>
    </font>
    <font>
      <sz val="11"/>
      <color rgb="FF0070C0"/>
      <name val="Arial"/>
      <charset val="134"/>
    </font>
    <font>
      <sz val="11"/>
      <color rgb="FFC00000"/>
      <name val="Arial"/>
      <charset val="134"/>
    </font>
    <font>
      <sz val="11"/>
      <color theme="5"/>
      <name val="Arial"/>
      <charset val="134"/>
    </font>
    <font>
      <sz val="11"/>
      <color rgb="FF00B050"/>
      <name val="Arial"/>
      <charset val="134"/>
    </font>
    <font>
      <b/>
      <sz val="11"/>
      <color rgb="FF00B050"/>
      <name val="Arial"/>
      <charset val="134"/>
    </font>
    <font>
      <b/>
      <sz val="11"/>
      <color theme="2" tint="-0.5"/>
      <name val="新細明體"/>
      <charset val="136"/>
    </font>
    <font>
      <b/>
      <sz val="11"/>
      <color rgb="FF808080"/>
      <name val="新細明體"/>
      <charset val="136"/>
    </font>
    <font>
      <b/>
      <sz val="11"/>
      <name val="新細明體"/>
      <charset val="136"/>
    </font>
    <font>
      <b/>
      <sz val="11"/>
      <color theme="0" tint="-0.5"/>
      <name val="新細明體"/>
      <charset val="136"/>
    </font>
    <font>
      <b/>
      <sz val="11"/>
      <color rgb="FFA6A6A6"/>
      <name val="新細明體"/>
      <charset val="136"/>
    </font>
    <font>
      <b/>
      <sz val="11"/>
      <color theme="1" tint="-0.5"/>
      <name val="新細明體"/>
      <charset val="136"/>
    </font>
    <font>
      <b/>
      <sz val="11"/>
      <color rgb="FFC00000"/>
      <name val="新細明體"/>
      <charset val="136"/>
    </font>
    <font>
      <b/>
      <sz val="11"/>
      <color rgb="FF0070C0"/>
      <name val="新細明體"/>
      <charset val="134"/>
    </font>
    <font>
      <b/>
      <sz val="11"/>
      <color rgb="FF00B050"/>
      <name val="新細明體"/>
      <charset val="136"/>
    </font>
    <font>
      <b/>
      <sz val="11"/>
      <color rgb="FFFF0000"/>
      <name val="新細明體"/>
      <charset val="136"/>
    </font>
    <font>
      <b/>
      <sz val="11"/>
      <color rgb="FF999999"/>
      <name val="新細明體"/>
      <charset val="136"/>
    </font>
    <font>
      <b/>
      <sz val="11"/>
      <color theme="2" tint="-0.9"/>
      <name val="新細明體"/>
      <charset val="136"/>
    </font>
    <font>
      <b/>
      <sz val="11"/>
      <color theme="8"/>
      <name val="新細明體"/>
      <charset val="136"/>
    </font>
    <font>
      <b/>
      <sz val="11"/>
      <color theme="1" tint="0.5"/>
      <name val="新細明體"/>
      <charset val="136"/>
    </font>
    <font>
      <sz val="11"/>
      <color theme="2" tint="-0.5"/>
      <name val="新細明體"/>
      <charset val="134"/>
    </font>
    <font>
      <b/>
      <sz val="11"/>
      <color rgb="FF7030A0"/>
      <name val="新細明體"/>
      <charset val="136"/>
    </font>
    <font>
      <sz val="11"/>
      <color rgb="FFC00000"/>
      <name val="新細明體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 tint="-0.5"/>
      <name val="Arial"/>
      <charset val="136"/>
    </font>
    <font>
      <sz val="9"/>
      <name val="Times New Roman"/>
      <charset val="134"/>
    </font>
    <font>
      <b/>
      <sz val="9"/>
      <name val="Times New Roman"/>
      <charset val="134"/>
    </font>
    <font>
      <sz val="9"/>
      <color rgb="FF000000"/>
      <name val="Tahoma"/>
      <charset val="134"/>
    </font>
    <font>
      <sz val="11"/>
      <color rgb="FF000000"/>
      <name val="PMingLiU"/>
      <charset val="134"/>
    </font>
    <font>
      <sz val="9"/>
      <name val="Times New Roman"/>
      <charset val="0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8"/>
        <bgColor rgb="FFFFFFFF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9" fillId="35" borderId="0" applyNumberFormat="0" applyBorder="0" applyAlignment="0" applyProtection="0">
      <alignment vertical="center"/>
    </xf>
    <xf numFmtId="0" fontId="80" fillId="27" borderId="0" applyNumberFormat="0" applyBorder="0" applyAlignment="0" applyProtection="0">
      <alignment vertical="center"/>
    </xf>
    <xf numFmtId="0" fontId="79" fillId="33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18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80" fillId="6" borderId="0" applyNumberFormat="0" applyBorder="0" applyAlignment="0" applyProtection="0">
      <alignment vertical="center"/>
    </xf>
    <xf numFmtId="0" fontId="79" fillId="31" borderId="0" applyNumberFormat="0" applyBorder="0" applyAlignment="0" applyProtection="0">
      <alignment vertical="center"/>
    </xf>
    <xf numFmtId="0" fontId="96" fillId="0" borderId="42" applyNumberFormat="0" applyFill="0" applyAlignment="0" applyProtection="0">
      <alignment vertical="center"/>
    </xf>
    <xf numFmtId="0" fontId="80" fillId="28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6" borderId="0" applyNumberFormat="0" applyBorder="0" applyAlignment="0" applyProtection="0">
      <alignment vertical="center"/>
    </xf>
    <xf numFmtId="0" fontId="80" fillId="32" borderId="0" applyNumberFormat="0" applyBorder="0" applyAlignment="0" applyProtection="0">
      <alignment vertical="center"/>
    </xf>
    <xf numFmtId="0" fontId="80" fillId="22" borderId="0" applyNumberFormat="0" applyBorder="0" applyAlignment="0" applyProtection="0">
      <alignment vertical="center"/>
    </xf>
    <xf numFmtId="0" fontId="79" fillId="21" borderId="0" applyNumberFormat="0" applyBorder="0" applyAlignment="0" applyProtection="0">
      <alignment vertical="center"/>
    </xf>
    <xf numFmtId="0" fontId="80" fillId="19" borderId="0" applyNumberFormat="0" applyBorder="0" applyAlignment="0" applyProtection="0">
      <alignment vertical="center"/>
    </xf>
    <xf numFmtId="0" fontId="80" fillId="34" borderId="0" applyNumberFormat="0" applyBorder="0" applyAlignment="0" applyProtection="0">
      <alignment vertical="center"/>
    </xf>
    <xf numFmtId="0" fontId="79" fillId="30" borderId="0" applyNumberFormat="0" applyBorder="0" applyAlignment="0" applyProtection="0">
      <alignment vertical="center"/>
    </xf>
    <xf numFmtId="0" fontId="92" fillId="17" borderId="0" applyNumberFormat="0" applyBorder="0" applyAlignment="0" applyProtection="0">
      <alignment vertical="center"/>
    </xf>
    <xf numFmtId="0" fontId="79" fillId="23" borderId="0" applyNumberFormat="0" applyBorder="0" applyAlignment="0" applyProtection="0">
      <alignment vertical="center"/>
    </xf>
    <xf numFmtId="0" fontId="95" fillId="29" borderId="0" applyNumberFormat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91" fillId="0" borderId="39" applyNumberFormat="0" applyFill="0" applyAlignment="0" applyProtection="0">
      <alignment vertical="center"/>
    </xf>
    <xf numFmtId="0" fontId="90" fillId="12" borderId="3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0" fillId="11" borderId="0" applyNumberFormat="0" applyBorder="0" applyAlignment="0" applyProtection="0">
      <alignment vertical="center"/>
    </xf>
    <xf numFmtId="0" fontId="5" fillId="20" borderId="40" applyNumberFormat="0" applyFont="0" applyAlignment="0" applyProtection="0">
      <alignment vertical="center"/>
    </xf>
    <xf numFmtId="0" fontId="87" fillId="13" borderId="3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85" fillId="12" borderId="37" applyNumberFormat="0" applyAlignment="0" applyProtection="0">
      <alignment vertical="center"/>
    </xf>
    <xf numFmtId="0" fontId="84" fillId="10" borderId="0" applyNumberFormat="0" applyBorder="0" applyAlignment="0" applyProtection="0">
      <alignment vertical="center"/>
    </xf>
    <xf numFmtId="0" fontId="93" fillId="0" borderId="41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8" fillId="0" borderId="36" applyNumberFormat="0" applyFill="0" applyAlignment="0" applyProtection="0">
      <alignment vertical="center"/>
    </xf>
    <xf numFmtId="181" fontId="5" fillId="0" borderId="0" applyFont="0" applyFill="0" applyBorder="0" applyAlignment="0" applyProtection="0">
      <alignment vertical="center"/>
    </xf>
    <xf numFmtId="0" fontId="80" fillId="8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2" fillId="0" borderId="36" applyNumberFormat="0" applyFill="0" applyAlignment="0" applyProtection="0">
      <alignment vertical="center"/>
    </xf>
    <xf numFmtId="185" fontId="5" fillId="0" borderId="0" applyFont="0" applyFill="0" applyBorder="0" applyAlignment="0" applyProtection="0">
      <alignment vertical="center"/>
    </xf>
    <xf numFmtId="0" fontId="81" fillId="7" borderId="35" applyNumberFormat="0" applyAlignment="0" applyProtection="0">
      <alignment vertical="center"/>
    </xf>
    <xf numFmtId="0" fontId="79" fillId="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8" fillId="0" borderId="0" applyBorder="0" applyProtection="0"/>
  </cellStyleXfs>
  <cellXfs count="428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86" fontId="2" fillId="0" borderId="5" xfId="0" applyNumberFormat="1" applyFont="1" applyBorder="1" applyAlignment="1">
      <alignment wrapText="1"/>
    </xf>
    <xf numFmtId="186" fontId="3" fillId="0" borderId="6" xfId="0" applyNumberFormat="1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186" fontId="1" fillId="0" borderId="7" xfId="0" applyNumberFormat="1" applyFont="1" applyBorder="1" applyAlignment="1">
      <alignment wrapText="1"/>
    </xf>
    <xf numFmtId="186" fontId="4" fillId="0" borderId="0" xfId="0" applyNumberFormat="1" applyFont="1" applyAlignment="1">
      <alignment wrapText="1"/>
    </xf>
    <xf numFmtId="186" fontId="1" fillId="0" borderId="8" xfId="0" applyNumberFormat="1" applyFont="1" applyBorder="1" applyAlignment="1">
      <alignment wrapText="1"/>
    </xf>
    <xf numFmtId="186" fontId="2" fillId="0" borderId="0" xfId="0" applyNumberFormat="1" applyFont="1" applyAlignment="1">
      <alignment wrapText="1"/>
    </xf>
    <xf numFmtId="186" fontId="4" fillId="0" borderId="9" xfId="0" applyNumberFormat="1" applyFont="1" applyBorder="1" applyAlignment="1">
      <alignment wrapText="1"/>
    </xf>
    <xf numFmtId="186" fontId="4" fillId="0" borderId="10" xfId="0" applyNumberFormat="1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86" fontId="3" fillId="0" borderId="11" xfId="0" applyNumberFormat="1" applyFont="1" applyBorder="1" applyAlignment="1">
      <alignment wrapText="1"/>
    </xf>
    <xf numFmtId="186" fontId="1" fillId="0" borderId="0" xfId="0" applyNumberFormat="1" applyFont="1" applyAlignment="1">
      <alignment wrapText="1"/>
    </xf>
    <xf numFmtId="186" fontId="1" fillId="0" borderId="11" xfId="0" applyNumberFormat="1" applyFont="1" applyBorder="1" applyAlignment="1">
      <alignment wrapText="1"/>
    </xf>
    <xf numFmtId="186" fontId="3" fillId="0" borderId="12" xfId="0" applyNumberFormat="1" applyFont="1" applyBorder="1" applyAlignment="1">
      <alignment wrapText="1"/>
    </xf>
    <xf numFmtId="186" fontId="1" fillId="0" borderId="13" xfId="0" applyNumberFormat="1" applyFont="1" applyBorder="1" applyAlignment="1">
      <alignment wrapText="1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186" fontId="1" fillId="0" borderId="16" xfId="0" applyNumberFormat="1" applyFont="1" applyBorder="1" applyAlignment="1">
      <alignment wrapText="1"/>
    </xf>
    <xf numFmtId="186" fontId="1" fillId="0" borderId="17" xfId="0" applyNumberFormat="1" applyFont="1" applyBorder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wrapText="1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180" fontId="5" fillId="0" borderId="12" xfId="0" applyNumberFormat="1" applyFont="1" applyFill="1" applyBorder="1" applyAlignment="1">
      <alignment vertical="center"/>
    </xf>
    <xf numFmtId="180" fontId="5" fillId="0" borderId="13" xfId="0" applyNumberFormat="1" applyFont="1" applyFill="1" applyBorder="1" applyAlignment="1">
      <alignment vertical="center"/>
    </xf>
    <xf numFmtId="180" fontId="5" fillId="0" borderId="11" xfId="0" applyNumberFormat="1" applyFont="1" applyFill="1" applyBorder="1" applyAlignment="1">
      <alignment vertical="center"/>
    </xf>
    <xf numFmtId="180" fontId="5" fillId="0" borderId="0" xfId="0" applyNumberFormat="1" applyFont="1" applyFill="1" applyAlignment="1">
      <alignment vertical="center"/>
    </xf>
    <xf numFmtId="180" fontId="5" fillId="0" borderId="9" xfId="0" applyNumberFormat="1" applyFont="1" applyFill="1" applyBorder="1" applyAlignment="1">
      <alignment vertical="center"/>
    </xf>
    <xf numFmtId="180" fontId="5" fillId="0" borderId="10" xfId="0" applyNumberFormat="1" applyFont="1" applyFill="1" applyBorder="1" applyAlignment="1">
      <alignment vertical="center"/>
    </xf>
    <xf numFmtId="186" fontId="4" fillId="0" borderId="18" xfId="0" applyNumberFormat="1" applyFont="1" applyBorder="1" applyAlignment="1">
      <alignment wrapText="1"/>
    </xf>
    <xf numFmtId="186" fontId="1" fillId="0" borderId="6" xfId="0" applyNumberFormat="1" applyFont="1" applyBorder="1" applyAlignment="1">
      <alignment wrapText="1"/>
    </xf>
    <xf numFmtId="186" fontId="4" fillId="0" borderId="8" xfId="0" applyNumberFormat="1" applyFont="1" applyBorder="1" applyAlignment="1">
      <alignment wrapText="1"/>
    </xf>
    <xf numFmtId="186" fontId="7" fillId="0" borderId="0" xfId="0" applyNumberFormat="1" applyFont="1" applyAlignment="1">
      <alignment wrapText="1"/>
    </xf>
    <xf numFmtId="186" fontId="4" fillId="0" borderId="19" xfId="0" applyNumberFormat="1" applyFont="1" applyBorder="1" applyAlignment="1">
      <alignment wrapText="1"/>
    </xf>
    <xf numFmtId="186" fontId="8" fillId="0" borderId="8" xfId="0" applyNumberFormat="1" applyFont="1" applyBorder="1"/>
    <xf numFmtId="186" fontId="1" fillId="0" borderId="10" xfId="0" applyNumberFormat="1" applyFont="1" applyBorder="1" applyAlignment="1">
      <alignment wrapText="1"/>
    </xf>
    <xf numFmtId="186" fontId="2" fillId="0" borderId="12" xfId="0" applyNumberFormat="1" applyFont="1" applyBorder="1" applyAlignment="1">
      <alignment wrapText="1"/>
    </xf>
    <xf numFmtId="186" fontId="9" fillId="0" borderId="13" xfId="0" applyNumberFormat="1" applyFont="1" applyBorder="1" applyAlignment="1">
      <alignment wrapText="1"/>
    </xf>
    <xf numFmtId="186" fontId="1" fillId="0" borderId="0" xfId="0" applyNumberFormat="1" applyFont="1"/>
    <xf numFmtId="186" fontId="2" fillId="0" borderId="0" xfId="0" applyNumberFormat="1" applyFont="1"/>
    <xf numFmtId="186" fontId="10" fillId="0" borderId="11" xfId="0" applyNumberFormat="1" applyFont="1" applyBorder="1" applyAlignment="1">
      <alignment wrapText="1"/>
    </xf>
    <xf numFmtId="186" fontId="10" fillId="0" borderId="0" xfId="0" applyNumberFormat="1" applyFont="1" applyAlignment="1">
      <alignment wrapText="1"/>
    </xf>
    <xf numFmtId="186" fontId="1" fillId="0" borderId="20" xfId="0" applyNumberFormat="1" applyFont="1" applyBorder="1" applyAlignment="1">
      <alignment wrapText="1"/>
    </xf>
    <xf numFmtId="180" fontId="5" fillId="0" borderId="7" xfId="0" applyNumberFormat="1" applyFont="1" applyFill="1" applyBorder="1" applyAlignment="1">
      <alignment vertical="center"/>
    </xf>
    <xf numFmtId="180" fontId="5" fillId="0" borderId="8" xfId="0" applyNumberFormat="1" applyFont="1" applyFill="1" applyBorder="1" applyAlignment="1">
      <alignment vertical="center"/>
    </xf>
    <xf numFmtId="180" fontId="5" fillId="0" borderId="19" xfId="0" applyNumberFormat="1" applyFont="1" applyFill="1" applyBorder="1" applyAlignment="1">
      <alignment vertical="center"/>
    </xf>
    <xf numFmtId="186" fontId="3" fillId="0" borderId="21" xfId="0" applyNumberFormat="1" applyFont="1" applyBorder="1" applyAlignment="1">
      <alignment wrapText="1"/>
    </xf>
    <xf numFmtId="186" fontId="1" fillId="0" borderId="9" xfId="0" applyNumberFormat="1" applyFont="1" applyBorder="1" applyAlignment="1">
      <alignment wrapText="1"/>
    </xf>
    <xf numFmtId="186" fontId="2" fillId="0" borderId="13" xfId="0" applyNumberFormat="1" applyFont="1" applyBorder="1" applyAlignment="1">
      <alignment wrapText="1"/>
    </xf>
    <xf numFmtId="186" fontId="10" fillId="0" borderId="13" xfId="0" applyNumberFormat="1" applyFont="1" applyBorder="1" applyAlignment="1">
      <alignment wrapText="1"/>
    </xf>
    <xf numFmtId="186" fontId="3" fillId="0" borderId="0" xfId="0" applyNumberFormat="1" applyFont="1" applyAlignment="1">
      <alignment wrapText="1"/>
    </xf>
    <xf numFmtId="180" fontId="5" fillId="0" borderId="0" xfId="0" applyNumberFormat="1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186" fontId="1" fillId="0" borderId="18" xfId="0" applyNumberFormat="1" applyFont="1" applyBorder="1" applyAlignment="1">
      <alignment wrapText="1"/>
    </xf>
    <xf numFmtId="186" fontId="1" fillId="0" borderId="19" xfId="0" applyNumberFormat="1" applyFont="1" applyBorder="1" applyAlignment="1">
      <alignment wrapText="1"/>
    </xf>
    <xf numFmtId="186" fontId="10" fillId="0" borderId="8" xfId="0" applyNumberFormat="1" applyFont="1" applyBorder="1" applyAlignment="1">
      <alignment wrapText="1"/>
    </xf>
    <xf numFmtId="186" fontId="10" fillId="0" borderId="19" xfId="0" applyNumberFormat="1" applyFont="1" applyBorder="1" applyAlignment="1">
      <alignment wrapText="1"/>
    </xf>
    <xf numFmtId="186" fontId="10" fillId="0" borderId="16" xfId="0" applyNumberFormat="1" applyFont="1" applyBorder="1" applyAlignment="1">
      <alignment wrapText="1"/>
    </xf>
    <xf numFmtId="186" fontId="10" fillId="0" borderId="17" xfId="0" applyNumberFormat="1" applyFont="1" applyBorder="1" applyAlignment="1">
      <alignment wrapText="1"/>
    </xf>
    <xf numFmtId="0" fontId="1" fillId="0" borderId="23" xfId="0" applyFont="1" applyBorder="1"/>
    <xf numFmtId="186" fontId="1" fillId="0" borderId="24" xfId="0" applyNumberFormat="1" applyFont="1" applyBorder="1" applyAlignment="1">
      <alignment wrapText="1"/>
    </xf>
    <xf numFmtId="186" fontId="1" fillId="0" borderId="25" xfId="0" applyNumberFormat="1" applyFont="1" applyBorder="1" applyAlignment="1">
      <alignment wrapText="1"/>
    </xf>
    <xf numFmtId="186" fontId="1" fillId="0" borderId="26" xfId="0" applyNumberFormat="1" applyFont="1" applyBorder="1" applyAlignment="1">
      <alignment wrapText="1"/>
    </xf>
    <xf numFmtId="186" fontId="1" fillId="0" borderId="27" xfId="0" applyNumberFormat="1" applyFont="1" applyBorder="1" applyAlignment="1">
      <alignment wrapText="1"/>
    </xf>
    <xf numFmtId="186" fontId="10" fillId="0" borderId="27" xfId="0" applyNumberFormat="1" applyFont="1" applyBorder="1" applyAlignment="1">
      <alignment wrapText="1"/>
    </xf>
    <xf numFmtId="186" fontId="10" fillId="0" borderId="25" xfId="0" applyNumberFormat="1" applyFont="1" applyBorder="1" applyAlignment="1">
      <alignment wrapText="1"/>
    </xf>
    <xf numFmtId="186" fontId="10" fillId="0" borderId="28" xfId="0" applyNumberFormat="1" applyFont="1" applyBorder="1" applyAlignment="1">
      <alignment wrapText="1"/>
    </xf>
    <xf numFmtId="0" fontId="11" fillId="0" borderId="0" xfId="0" applyFont="1" applyAlignment="1">
      <alignment horizontal="center" vertical="center"/>
    </xf>
    <xf numFmtId="10" fontId="12" fillId="0" borderId="0" xfId="0" applyNumberFormat="1" applyFont="1" applyAlignment="1">
      <alignment wrapText="1"/>
    </xf>
    <xf numFmtId="0" fontId="11" fillId="0" borderId="4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1" fillId="0" borderId="29" xfId="0" applyFont="1" applyBorder="1"/>
    <xf numFmtId="0" fontId="11" fillId="0" borderId="30" xfId="0" applyFont="1" applyBorder="1"/>
    <xf numFmtId="0" fontId="11" fillId="0" borderId="4" xfId="0" applyFont="1" applyBorder="1" applyAlignment="1">
      <alignment horizontal="center" vertical="center"/>
    </xf>
    <xf numFmtId="10" fontId="13" fillId="0" borderId="21" xfId="0" applyNumberFormat="1" applyFont="1" applyFill="1" applyBorder="1" applyAlignment="1">
      <alignment wrapText="1"/>
    </xf>
    <xf numFmtId="10" fontId="12" fillId="0" borderId="6" xfId="0" applyNumberFormat="1" applyFont="1" applyFill="1" applyBorder="1" applyAlignment="1">
      <alignment wrapText="1"/>
    </xf>
    <xf numFmtId="0" fontId="11" fillId="0" borderId="3" xfId="0" applyFont="1" applyBorder="1" applyAlignment="1">
      <alignment horizontal="center" vertical="center"/>
    </xf>
    <xf numFmtId="10" fontId="12" fillId="0" borderId="11" xfId="0" applyNumberFormat="1" applyFont="1" applyFill="1" applyBorder="1" applyAlignment="1">
      <alignment wrapText="1"/>
    </xf>
    <xf numFmtId="10" fontId="14" fillId="0" borderId="0" xfId="0" applyNumberFormat="1" applyFont="1" applyFill="1" applyAlignment="1">
      <alignment wrapText="1"/>
    </xf>
    <xf numFmtId="10" fontId="12" fillId="0" borderId="0" xfId="0" applyNumberFormat="1" applyFont="1" applyFill="1" applyAlignment="1">
      <alignment wrapText="1"/>
    </xf>
    <xf numFmtId="10" fontId="14" fillId="0" borderId="9" xfId="0" applyNumberFormat="1" applyFont="1" applyFill="1" applyBorder="1" applyAlignment="1">
      <alignment wrapText="1"/>
    </xf>
    <xf numFmtId="10" fontId="14" fillId="0" borderId="10" xfId="0" applyNumberFormat="1" applyFont="1" applyFill="1" applyBorder="1" applyAlignment="1">
      <alignment wrapText="1"/>
    </xf>
    <xf numFmtId="0" fontId="11" fillId="0" borderId="2" xfId="0" applyFont="1" applyBorder="1" applyAlignment="1">
      <alignment horizontal="center" vertical="center"/>
    </xf>
    <xf numFmtId="10" fontId="13" fillId="0" borderId="11" xfId="0" applyNumberFormat="1" applyFont="1" applyFill="1" applyBorder="1" applyAlignment="1">
      <alignment wrapText="1"/>
    </xf>
    <xf numFmtId="10" fontId="14" fillId="0" borderId="11" xfId="0" applyNumberFormat="1" applyFont="1" applyFill="1" applyBorder="1" applyAlignment="1">
      <alignment wrapText="1"/>
    </xf>
    <xf numFmtId="10" fontId="13" fillId="0" borderId="12" xfId="0" applyNumberFormat="1" applyFont="1" applyFill="1" applyBorder="1" applyAlignment="1">
      <alignment wrapText="1"/>
    </xf>
    <xf numFmtId="10" fontId="14" fillId="0" borderId="13" xfId="0" applyNumberFormat="1" applyFont="1" applyFill="1" applyBorder="1" applyAlignment="1">
      <alignment wrapText="1"/>
    </xf>
    <xf numFmtId="0" fontId="11" fillId="0" borderId="14" xfId="0" applyFont="1" applyBorder="1" applyAlignment="1">
      <alignment horizontal="center" vertical="center"/>
    </xf>
    <xf numFmtId="10" fontId="12" fillId="0" borderId="12" xfId="0" applyNumberFormat="1" applyFont="1" applyFill="1" applyBorder="1" applyAlignment="1">
      <alignment wrapText="1"/>
    </xf>
    <xf numFmtId="10" fontId="12" fillId="0" borderId="13" xfId="0" applyNumberFormat="1" applyFont="1" applyFill="1" applyBorder="1" applyAlignment="1">
      <alignment wrapText="1"/>
    </xf>
    <xf numFmtId="0" fontId="11" fillId="0" borderId="15" xfId="0" applyFont="1" applyBorder="1" applyAlignment="1">
      <alignment horizontal="center" vertical="center"/>
    </xf>
    <xf numFmtId="10" fontId="12" fillId="0" borderId="16" xfId="0" applyNumberFormat="1" applyFont="1" applyFill="1" applyBorder="1" applyAlignment="1">
      <alignment wrapText="1"/>
    </xf>
    <xf numFmtId="10" fontId="12" fillId="0" borderId="17" xfId="0" applyNumberFormat="1" applyFont="1" applyFill="1" applyBorder="1" applyAlignment="1">
      <alignment wrapText="1"/>
    </xf>
    <xf numFmtId="0" fontId="11" fillId="0" borderId="0" xfId="0" applyFont="1"/>
    <xf numFmtId="0" fontId="15" fillId="0" borderId="0" xfId="48" applyFont="1" applyBorder="1" applyProtection="1"/>
    <xf numFmtId="10" fontId="14" fillId="0" borderId="18" xfId="0" applyNumberFormat="1" applyFont="1" applyFill="1" applyBorder="1" applyAlignment="1">
      <alignment wrapText="1"/>
    </xf>
    <xf numFmtId="10" fontId="13" fillId="0" borderId="6" xfId="0" applyNumberFormat="1" applyFont="1" applyFill="1" applyBorder="1" applyAlignment="1">
      <alignment wrapText="1"/>
    </xf>
    <xf numFmtId="10" fontId="14" fillId="0" borderId="6" xfId="0" applyNumberFormat="1" applyFont="1" applyFill="1" applyBorder="1" applyAlignment="1">
      <alignment wrapText="1"/>
    </xf>
    <xf numFmtId="10" fontId="14" fillId="0" borderId="8" xfId="0" applyNumberFormat="1" applyFont="1" applyFill="1" applyBorder="1" applyAlignment="1">
      <alignment wrapText="1"/>
    </xf>
    <xf numFmtId="10" fontId="13" fillId="0" borderId="0" xfId="0" applyNumberFormat="1" applyFont="1" applyFill="1" applyAlignment="1">
      <alignment wrapText="1"/>
    </xf>
    <xf numFmtId="10" fontId="14" fillId="0" borderId="19" xfId="0" applyNumberFormat="1" applyFont="1" applyFill="1" applyBorder="1" applyAlignment="1">
      <alignment wrapText="1"/>
    </xf>
    <xf numFmtId="10" fontId="13" fillId="0" borderId="13" xfId="0" applyNumberFormat="1" applyFont="1" applyFill="1" applyBorder="1" applyAlignment="1">
      <alignment wrapText="1"/>
    </xf>
    <xf numFmtId="10" fontId="14" fillId="0" borderId="7" xfId="0" applyNumberFormat="1" applyFont="1" applyFill="1" applyBorder="1" applyAlignment="1">
      <alignment wrapText="1"/>
    </xf>
    <xf numFmtId="10" fontId="14" fillId="0" borderId="12" xfId="0" applyNumberFormat="1" applyFont="1" applyFill="1" applyBorder="1" applyAlignment="1">
      <alignment wrapText="1"/>
    </xf>
    <xf numFmtId="10" fontId="12" fillId="0" borderId="0" xfId="0" applyNumberFormat="1" applyFont="1" applyFill="1" applyBorder="1" applyAlignment="1" applyProtection="1">
      <alignment wrapText="1"/>
    </xf>
    <xf numFmtId="10" fontId="13" fillId="0" borderId="7" xfId="0" applyNumberFormat="1" applyFont="1" applyFill="1" applyBorder="1" applyAlignment="1">
      <alignment wrapText="1"/>
    </xf>
    <xf numFmtId="10" fontId="13" fillId="0" borderId="8" xfId="0" applyNumberFormat="1" applyFont="1" applyFill="1" applyBorder="1" applyAlignment="1">
      <alignment wrapText="1"/>
    </xf>
    <xf numFmtId="10" fontId="13" fillId="0" borderId="20" xfId="0" applyNumberFormat="1" applyFont="1" applyFill="1" applyBorder="1" applyAlignment="1">
      <alignment wrapText="1"/>
    </xf>
    <xf numFmtId="10" fontId="13" fillId="0" borderId="16" xfId="0" applyNumberFormat="1" applyFont="1" applyFill="1" applyBorder="1" applyAlignment="1">
      <alignment wrapText="1"/>
    </xf>
    <xf numFmtId="10" fontId="13" fillId="0" borderId="17" xfId="0" applyNumberFormat="1" applyFont="1" applyFill="1" applyBorder="1" applyAlignment="1">
      <alignment wrapText="1"/>
    </xf>
    <xf numFmtId="10" fontId="14" fillId="0" borderId="17" xfId="0" applyNumberFormat="1" applyFont="1" applyFill="1" applyBorder="1" applyAlignment="1">
      <alignment wrapText="1"/>
    </xf>
    <xf numFmtId="10" fontId="16" fillId="0" borderId="0" xfId="0" applyNumberFormat="1" applyFont="1" applyAlignment="1">
      <alignment wrapText="1"/>
    </xf>
    <xf numFmtId="0" fontId="11" fillId="0" borderId="22" xfId="0" applyFont="1" applyBorder="1" applyAlignment="1">
      <alignment horizontal="center" vertical="center"/>
    </xf>
    <xf numFmtId="0" fontId="11" fillId="0" borderId="31" xfId="0" applyFont="1" applyBorder="1"/>
    <xf numFmtId="10" fontId="13" fillId="0" borderId="24" xfId="0" applyNumberFormat="1" applyFont="1" applyFill="1" applyBorder="1" applyAlignment="1">
      <alignment wrapText="1"/>
    </xf>
    <xf numFmtId="10" fontId="13" fillId="0" borderId="25" xfId="0" applyNumberFormat="1" applyFont="1" applyFill="1" applyBorder="1" applyAlignment="1">
      <alignment wrapText="1"/>
    </xf>
    <xf numFmtId="10" fontId="13" fillId="0" borderId="9" xfId="0" applyNumberFormat="1" applyFont="1" applyFill="1" applyBorder="1" applyAlignment="1">
      <alignment wrapText="1"/>
    </xf>
    <xf numFmtId="10" fontId="13" fillId="0" borderId="10" xfId="0" applyNumberFormat="1" applyFont="1" applyFill="1" applyBorder="1" applyAlignment="1">
      <alignment wrapText="1"/>
    </xf>
    <xf numFmtId="10" fontId="13" fillId="0" borderId="26" xfId="0" applyNumberFormat="1" applyFont="1" applyFill="1" applyBorder="1" applyAlignment="1">
      <alignment wrapText="1"/>
    </xf>
    <xf numFmtId="10" fontId="13" fillId="0" borderId="27" xfId="0" applyNumberFormat="1" applyFont="1" applyFill="1" applyBorder="1" applyAlignment="1">
      <alignment wrapText="1"/>
    </xf>
    <xf numFmtId="10" fontId="14" fillId="0" borderId="25" xfId="0" applyNumberFormat="1" applyFont="1" applyFill="1" applyBorder="1" applyAlignment="1">
      <alignment wrapText="1"/>
    </xf>
    <xf numFmtId="10" fontId="14" fillId="0" borderId="27" xfId="0" applyNumberFormat="1" applyFont="1" applyFill="1" applyBorder="1" applyAlignment="1">
      <alignment wrapText="1"/>
    </xf>
    <xf numFmtId="10" fontId="14" fillId="0" borderId="16" xfId="0" applyNumberFormat="1" applyFont="1" applyFill="1" applyBorder="1" applyAlignment="1">
      <alignment wrapText="1"/>
    </xf>
    <xf numFmtId="10" fontId="14" fillId="0" borderId="28" xfId="0" applyNumberFormat="1" applyFont="1" applyFill="1" applyBorder="1" applyAlignment="1">
      <alignment wrapText="1"/>
    </xf>
    <xf numFmtId="180" fontId="17" fillId="0" borderId="0" xfId="0" applyNumberFormat="1" applyFont="1"/>
    <xf numFmtId="180" fontId="15" fillId="0" borderId="0" xfId="48" applyNumberFormat="1" applyFont="1"/>
    <xf numFmtId="0" fontId="18" fillId="0" borderId="0" xfId="48"/>
    <xf numFmtId="180" fontId="19" fillId="0" borderId="0" xfId="0" applyNumberFormat="1" applyFont="1"/>
    <xf numFmtId="180" fontId="20" fillId="0" borderId="0" xfId="0" applyNumberFormat="1" applyFont="1"/>
    <xf numFmtId="180" fontId="19" fillId="0" borderId="0" xfId="0" applyNumberFormat="1" applyFont="1" applyAlignment="1">
      <alignment wrapText="1"/>
    </xf>
    <xf numFmtId="180" fontId="17" fillId="0" borderId="12" xfId="0" applyNumberFormat="1" applyFont="1" applyBorder="1"/>
    <xf numFmtId="180" fontId="17" fillId="0" borderId="9" xfId="0" applyNumberFormat="1" applyFont="1" applyBorder="1"/>
    <xf numFmtId="180" fontId="17" fillId="0" borderId="11" xfId="0" applyNumberFormat="1" applyFont="1" applyBorder="1"/>
    <xf numFmtId="180" fontId="17" fillId="0" borderId="7" xfId="0" applyNumberFormat="1" applyFont="1" applyBorder="1"/>
    <xf numFmtId="180" fontId="17" fillId="0" borderId="13" xfId="0" applyNumberFormat="1" applyFont="1" applyBorder="1"/>
    <xf numFmtId="180" fontId="17" fillId="0" borderId="19" xfId="0" applyNumberFormat="1" applyFont="1" applyBorder="1"/>
    <xf numFmtId="180" fontId="17" fillId="0" borderId="10" xfId="0" applyNumberFormat="1" applyFont="1" applyBorder="1"/>
    <xf numFmtId="180" fontId="17" fillId="0" borderId="8" xfId="0" applyNumberFormat="1" applyFont="1" applyBorder="1"/>
    <xf numFmtId="180" fontId="17" fillId="0" borderId="0" xfId="0" applyNumberFormat="1" applyFont="1" applyBorder="1"/>
    <xf numFmtId="0" fontId="21" fillId="0" borderId="0" xfId="0" applyFont="1"/>
    <xf numFmtId="0" fontId="22" fillId="0" borderId="0" xfId="0" applyFont="1"/>
    <xf numFmtId="183" fontId="21" fillId="0" borderId="0" xfId="0" applyNumberFormat="1" applyFont="1"/>
    <xf numFmtId="183" fontId="22" fillId="0" borderId="0" xfId="0" applyNumberFormat="1" applyFont="1"/>
    <xf numFmtId="180" fontId="21" fillId="0" borderId="0" xfId="0" applyNumberFormat="1" applyFont="1"/>
    <xf numFmtId="0" fontId="23" fillId="0" borderId="0" xfId="48" applyFont="1"/>
    <xf numFmtId="180" fontId="22" fillId="0" borderId="0" xfId="0" applyNumberFormat="1" applyFont="1"/>
    <xf numFmtId="0" fontId="0" fillId="2" borderId="0" xfId="0" applyFont="1" applyFill="1" applyAlignment="1"/>
    <xf numFmtId="0" fontId="0" fillId="2" borderId="0" xfId="0" applyFont="1" applyFill="1" applyAlignment="1">
      <alignment wrapText="1"/>
    </xf>
    <xf numFmtId="0" fontId="0" fillId="3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/>
    <xf numFmtId="0" fontId="11" fillId="0" borderId="0" xfId="0" applyFont="1" applyFill="1" applyAlignment="1">
      <alignment horizontal="center" wrapText="1"/>
    </xf>
    <xf numFmtId="0" fontId="12" fillId="0" borderId="0" xfId="0" applyFont="1" applyFill="1" applyAlignment="1">
      <alignment horizontal="center" wrapText="1"/>
    </xf>
    <xf numFmtId="0" fontId="18" fillId="0" borderId="0" xfId="48" applyNumberFormat="1" applyFont="1" applyFill="1" applyAlignment="1">
      <alignment wrapText="1"/>
    </xf>
    <xf numFmtId="0" fontId="15" fillId="0" borderId="0" xfId="48" applyNumberFormat="1" applyFont="1" applyFill="1" applyAlignment="1">
      <alignment wrapText="1"/>
    </xf>
    <xf numFmtId="0" fontId="24" fillId="0" borderId="0" xfId="0" applyFont="1"/>
    <xf numFmtId="0" fontId="24" fillId="0" borderId="3" xfId="0" applyFont="1" applyBorder="1"/>
    <xf numFmtId="182" fontId="24" fillId="0" borderId="3" xfId="0" applyNumberFormat="1" applyFont="1" applyBorder="1"/>
    <xf numFmtId="0" fontId="25" fillId="0" borderId="0" xfId="48" applyFont="1"/>
    <xf numFmtId="182" fontId="26" fillId="0" borderId="3" xfId="0" applyNumberFormat="1" applyFont="1" applyBorder="1"/>
    <xf numFmtId="0" fontId="26" fillId="0" borderId="3" xfId="0" applyFont="1" applyBorder="1"/>
    <xf numFmtId="182" fontId="24" fillId="3" borderId="3" xfId="0" applyNumberFormat="1" applyFont="1" applyFill="1" applyBorder="1"/>
    <xf numFmtId="0" fontId="24" fillId="0" borderId="0" xfId="0" applyFont="1" applyBorder="1"/>
    <xf numFmtId="0" fontId="24" fillId="3" borderId="3" xfId="0" applyFont="1" applyFill="1" applyBorder="1"/>
    <xf numFmtId="182" fontId="24" fillId="0" borderId="0" xfId="0" applyNumberFormat="1" applyFont="1" applyBorder="1"/>
    <xf numFmtId="0" fontId="15" fillId="0" borderId="0" xfId="48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7" fillId="0" borderId="0" xfId="48" applyFont="1" applyAlignment="1">
      <alignment wrapText="1"/>
    </xf>
    <xf numFmtId="0" fontId="2" fillId="4" borderId="0" xfId="0" applyFont="1" applyFill="1" applyAlignment="1">
      <alignment horizontal="center" wrapText="1"/>
    </xf>
    <xf numFmtId="0" fontId="2" fillId="4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" fillId="4" borderId="0" xfId="0" applyFont="1" applyFill="1" applyAlignment="1">
      <alignment horizontal="center" wrapText="1"/>
    </xf>
    <xf numFmtId="0" fontId="29" fillId="4" borderId="0" xfId="0" applyFont="1" applyFill="1" applyAlignment="1">
      <alignment horizontal="center" wrapText="1"/>
    </xf>
    <xf numFmtId="0" fontId="30" fillId="0" borderId="0" xfId="0" applyFont="1"/>
    <xf numFmtId="0" fontId="31" fillId="0" borderId="0" xfId="0" applyFont="1"/>
    <xf numFmtId="0" fontId="30" fillId="0" borderId="0" xfId="0" applyFont="1" applyAlignment="1">
      <alignment horizontal="center" wrapText="1"/>
    </xf>
    <xf numFmtId="0" fontId="30" fillId="0" borderId="0" xfId="0" applyFont="1" applyAlignment="1">
      <alignment horizontal="center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33" fillId="0" borderId="0" xfId="0" applyFont="1" applyAlignment="1">
      <alignment wrapText="1"/>
    </xf>
    <xf numFmtId="0" fontId="45" fillId="0" borderId="0" xfId="0" applyFont="1"/>
    <xf numFmtId="0" fontId="31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30" fillId="0" borderId="3" xfId="0" applyFont="1" applyBorder="1"/>
    <xf numFmtId="183" fontId="30" fillId="0" borderId="3" xfId="0" applyNumberFormat="1" applyFont="1" applyBorder="1"/>
    <xf numFmtId="183" fontId="46" fillId="0" borderId="3" xfId="0" applyNumberFormat="1" applyFont="1" applyBorder="1"/>
    <xf numFmtId="180" fontId="30" fillId="0" borderId="0" xfId="0" applyNumberFormat="1" applyFont="1"/>
    <xf numFmtId="180" fontId="31" fillId="0" borderId="0" xfId="0" applyNumberFormat="1" applyFont="1"/>
    <xf numFmtId="0" fontId="48" fillId="0" borderId="0" xfId="0" applyFont="1"/>
    <xf numFmtId="0" fontId="49" fillId="0" borderId="0" xfId="0" applyFont="1"/>
    <xf numFmtId="0" fontId="49" fillId="0" borderId="0" xfId="0" applyFont="1" applyAlignment="1">
      <alignment wrapText="1"/>
    </xf>
    <xf numFmtId="0" fontId="30" fillId="0" borderId="0" xfId="0" applyFont="1" applyAlignment="1">
      <alignment wrapText="1"/>
    </xf>
    <xf numFmtId="183" fontId="30" fillId="0" borderId="0" xfId="0" applyNumberFormat="1" applyFont="1"/>
    <xf numFmtId="183" fontId="46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30" fillId="0" borderId="32" xfId="0" applyFont="1" applyBorder="1"/>
    <xf numFmtId="0" fontId="30" fillId="0" borderId="24" xfId="0" applyFont="1" applyBorder="1"/>
    <xf numFmtId="0" fontId="30" fillId="0" borderId="6" xfId="0" applyFont="1" applyBorder="1"/>
    <xf numFmtId="0" fontId="30" fillId="0" borderId="33" xfId="0" applyFont="1" applyBorder="1"/>
    <xf numFmtId="0" fontId="30" fillId="0" borderId="28" xfId="0" applyFont="1" applyBorder="1"/>
    <xf numFmtId="0" fontId="30" fillId="0" borderId="17" xfId="0" applyFont="1" applyBorder="1"/>
    <xf numFmtId="0" fontId="30" fillId="0" borderId="34" xfId="0" applyFont="1" applyBorder="1"/>
    <xf numFmtId="0" fontId="30" fillId="0" borderId="25" xfId="0" applyFont="1" applyBorder="1"/>
    <xf numFmtId="178" fontId="2" fillId="0" borderId="0" xfId="0" applyNumberFormat="1" applyFont="1"/>
    <xf numFmtId="178" fontId="1" fillId="0" borderId="0" xfId="0" applyNumberFormat="1" applyFont="1"/>
    <xf numFmtId="178" fontId="54" fillId="0" borderId="0" xfId="0" applyNumberFormat="1" applyFont="1"/>
    <xf numFmtId="178" fontId="55" fillId="0" borderId="0" xfId="0" applyNumberFormat="1" applyFont="1"/>
    <xf numFmtId="178" fontId="56" fillId="0" borderId="0" xfId="0" applyNumberFormat="1" applyFont="1"/>
    <xf numFmtId="178" fontId="1" fillId="0" borderId="0" xfId="0" applyNumberFormat="1" applyFont="1" applyAlignment="1">
      <alignment wrapText="1"/>
    </xf>
    <xf numFmtId="178" fontId="57" fillId="0" borderId="0" xfId="0" applyNumberFormat="1" applyFont="1"/>
    <xf numFmtId="178" fontId="58" fillId="0" borderId="0" xfId="0" applyNumberFormat="1" applyFont="1"/>
    <xf numFmtId="178" fontId="59" fillId="0" borderId="0" xfId="0" applyNumberFormat="1" applyFont="1"/>
    <xf numFmtId="178" fontId="60" fillId="0" borderId="0" xfId="0" applyNumberFormat="1" applyFont="1"/>
    <xf numFmtId="178" fontId="61" fillId="0" borderId="0" xfId="0" applyNumberFormat="1" applyFont="1"/>
    <xf numFmtId="178" fontId="2" fillId="0" borderId="0" xfId="0" applyNumberFormat="1" applyFont="1" applyAlignment="1">
      <alignment wrapText="1"/>
    </xf>
    <xf numFmtId="178" fontId="7" fillId="0" borderId="0" xfId="0" applyNumberFormat="1" applyFont="1"/>
    <xf numFmtId="0" fontId="11" fillId="0" borderId="2" xfId="0" applyFont="1" applyBorder="1"/>
    <xf numFmtId="0" fontId="11" fillId="0" borderId="3" xfId="0" applyFont="1" applyBorder="1"/>
    <xf numFmtId="184" fontId="12" fillId="0" borderId="21" xfId="0" applyNumberFormat="1" applyFont="1" applyBorder="1" applyAlignment="1">
      <alignment wrapText="1"/>
    </xf>
    <xf numFmtId="184" fontId="62" fillId="0" borderId="6" xfId="0" applyNumberFormat="1" applyFont="1" applyBorder="1" applyAlignment="1">
      <alignment wrapText="1"/>
    </xf>
    <xf numFmtId="184" fontId="12" fillId="0" borderId="11" xfId="0" applyNumberFormat="1" applyFont="1" applyBorder="1" applyAlignment="1">
      <alignment wrapText="1"/>
    </xf>
    <xf numFmtId="184" fontId="63" fillId="0" borderId="0" xfId="0" applyNumberFormat="1" applyFont="1" applyAlignment="1">
      <alignment wrapText="1"/>
    </xf>
    <xf numFmtId="184" fontId="64" fillId="0" borderId="9" xfId="0" applyNumberFormat="1" applyFont="1" applyBorder="1" applyAlignment="1">
      <alignment wrapText="1"/>
    </xf>
    <xf numFmtId="184" fontId="64" fillId="0" borderId="10" xfId="0" applyNumberFormat="1" applyFont="1" applyBorder="1" applyAlignment="1">
      <alignment wrapText="1"/>
    </xf>
    <xf numFmtId="184" fontId="65" fillId="0" borderId="0" xfId="0" applyNumberFormat="1" applyFont="1" applyAlignment="1">
      <alignment wrapText="1"/>
    </xf>
    <xf numFmtId="184" fontId="62" fillId="0" borderId="11" xfId="0" applyNumberFormat="1" applyFont="1" applyBorder="1" applyAlignment="1">
      <alignment wrapText="1"/>
    </xf>
    <xf numFmtId="184" fontId="12" fillId="0" borderId="0" xfId="0" applyNumberFormat="1" applyFont="1" applyAlignment="1">
      <alignment wrapText="1"/>
    </xf>
    <xf numFmtId="184" fontId="12" fillId="0" borderId="12" xfId="0" applyNumberFormat="1" applyFont="1" applyBorder="1" applyAlignment="1">
      <alignment wrapText="1"/>
    </xf>
    <xf numFmtId="184" fontId="62" fillId="0" borderId="13" xfId="0" applyNumberFormat="1" applyFont="1" applyBorder="1" applyAlignment="1">
      <alignment wrapText="1"/>
    </xf>
    <xf numFmtId="184" fontId="62" fillId="0" borderId="0" xfId="0" applyNumberFormat="1" applyFont="1" applyAlignment="1">
      <alignment wrapText="1"/>
    </xf>
    <xf numFmtId="184" fontId="12" fillId="0" borderId="13" xfId="0" applyNumberFormat="1" applyFont="1" applyBorder="1" applyAlignment="1">
      <alignment wrapText="1"/>
    </xf>
    <xf numFmtId="184" fontId="12" fillId="0" borderId="16" xfId="0" applyNumberFormat="1" applyFont="1" applyBorder="1" applyAlignment="1">
      <alignment wrapText="1"/>
    </xf>
    <xf numFmtId="184" fontId="12" fillId="0" borderId="17" xfId="0" applyNumberFormat="1" applyFont="1" applyBorder="1" applyAlignment="1">
      <alignment wrapText="1"/>
    </xf>
    <xf numFmtId="17" fontId="11" fillId="0" borderId="0" xfId="0" applyNumberFormat="1" applyFont="1" applyAlignment="1">
      <alignment horizontal="center" vertical="center"/>
    </xf>
    <xf numFmtId="184" fontId="11" fillId="0" borderId="0" xfId="0" applyNumberFormat="1" applyFont="1" applyAlignment="1">
      <alignment wrapText="1"/>
    </xf>
    <xf numFmtId="10" fontId="12" fillId="0" borderId="21" xfId="0" applyNumberFormat="1" applyFont="1" applyFill="1" applyBorder="1" applyAlignment="1">
      <alignment wrapText="1"/>
    </xf>
    <xf numFmtId="10" fontId="62" fillId="0" borderId="6" xfId="0" applyNumberFormat="1" applyFont="1" applyFill="1" applyBorder="1" applyAlignment="1">
      <alignment wrapText="1"/>
    </xf>
    <xf numFmtId="10" fontId="62" fillId="0" borderId="0" xfId="0" applyNumberFormat="1" applyFont="1" applyFill="1" applyAlignment="1">
      <alignment wrapText="1"/>
    </xf>
    <xf numFmtId="10" fontId="64" fillId="0" borderId="0" xfId="0" applyNumberFormat="1" applyFont="1" applyFill="1" applyAlignment="1">
      <alignment wrapText="1"/>
    </xf>
    <xf numFmtId="10" fontId="66" fillId="0" borderId="9" xfId="0" applyNumberFormat="1" applyFont="1" applyFill="1" applyBorder="1" applyAlignment="1">
      <alignment wrapText="1"/>
    </xf>
    <xf numFmtId="10" fontId="65" fillId="0" borderId="10" xfId="0" applyNumberFormat="1" applyFont="1" applyFill="1" applyBorder="1" applyAlignment="1">
      <alignment wrapText="1"/>
    </xf>
    <xf numFmtId="10" fontId="67" fillId="0" borderId="11" xfId="0" applyNumberFormat="1" applyFont="1" applyFill="1" applyBorder="1" applyAlignment="1">
      <alignment wrapText="1"/>
    </xf>
    <xf numFmtId="10" fontId="68" fillId="0" borderId="0" xfId="0" applyNumberFormat="1" applyFont="1" applyFill="1" applyAlignment="1">
      <alignment wrapText="1"/>
    </xf>
    <xf numFmtId="10" fontId="68" fillId="0" borderId="11" xfId="0" applyNumberFormat="1" applyFont="1" applyFill="1" applyBorder="1" applyAlignment="1">
      <alignment wrapText="1"/>
    </xf>
    <xf numFmtId="10" fontId="62" fillId="0" borderId="13" xfId="0" applyNumberFormat="1" applyFont="1" applyFill="1" applyBorder="1" applyAlignment="1">
      <alignment wrapText="1"/>
    </xf>
    <xf numFmtId="10" fontId="62" fillId="0" borderId="11" xfId="0" applyNumberFormat="1" applyFont="1" applyFill="1" applyBorder="1" applyAlignment="1">
      <alignment wrapText="1"/>
    </xf>
    <xf numFmtId="10" fontId="67" fillId="0" borderId="12" xfId="0" applyNumberFormat="1" applyFont="1" applyFill="1" applyBorder="1" applyAlignment="1">
      <alignment wrapText="1"/>
    </xf>
    <xf numFmtId="10" fontId="67" fillId="0" borderId="13" xfId="0" applyNumberFormat="1" applyFont="1" applyFill="1" applyBorder="1" applyAlignment="1">
      <alignment wrapText="1"/>
    </xf>
    <xf numFmtId="10" fontId="67" fillId="0" borderId="0" xfId="0" applyNumberFormat="1" applyFont="1" applyFill="1" applyAlignment="1">
      <alignment wrapText="1"/>
    </xf>
    <xf numFmtId="10" fontId="67" fillId="0" borderId="16" xfId="0" applyNumberFormat="1" applyFont="1" applyFill="1" applyBorder="1" applyAlignment="1">
      <alignment wrapText="1"/>
    </xf>
    <xf numFmtId="10" fontId="67" fillId="0" borderId="17" xfId="0" applyNumberFormat="1" applyFont="1" applyFill="1" applyBorder="1" applyAlignment="1">
      <alignment wrapText="1"/>
    </xf>
    <xf numFmtId="0" fontId="63" fillId="0" borderId="0" xfId="0" applyFont="1" applyAlignment="1">
      <alignment vertical="center" wrapText="1"/>
    </xf>
    <xf numFmtId="0" fontId="69" fillId="0" borderId="0" xfId="0" applyFont="1" applyAlignment="1">
      <alignment horizontal="center" vertical="center" wrapText="1"/>
    </xf>
    <xf numFmtId="10" fontId="70" fillId="0" borderId="0" xfId="0" applyNumberFormat="1" applyFont="1" applyAlignment="1">
      <alignment wrapText="1"/>
    </xf>
    <xf numFmtId="0" fontId="63" fillId="0" borderId="0" xfId="0" applyFont="1"/>
    <xf numFmtId="58" fontId="11" fillId="0" borderId="0" xfId="0" applyNumberFormat="1" applyFont="1"/>
    <xf numFmtId="10" fontId="71" fillId="0" borderId="6" xfId="0" applyNumberFormat="1" applyFont="1" applyFill="1" applyBorder="1" applyAlignment="1">
      <alignment wrapText="1"/>
    </xf>
    <xf numFmtId="10" fontId="71" fillId="0" borderId="0" xfId="0" applyNumberFormat="1" applyFont="1" applyFill="1" applyAlignment="1">
      <alignment wrapText="1"/>
    </xf>
    <xf numFmtId="184" fontId="67" fillId="0" borderId="6" xfId="0" applyNumberFormat="1" applyFont="1" applyBorder="1" applyAlignment="1">
      <alignment wrapText="1"/>
    </xf>
    <xf numFmtId="184" fontId="64" fillId="0" borderId="18" xfId="0" applyNumberFormat="1" applyFont="1" applyBorder="1" applyAlignment="1">
      <alignment wrapText="1"/>
    </xf>
    <xf numFmtId="184" fontId="12" fillId="0" borderId="6" xfId="0" applyNumberFormat="1" applyFont="1" applyBorder="1" applyAlignment="1">
      <alignment wrapText="1"/>
    </xf>
    <xf numFmtId="184" fontId="64" fillId="0" borderId="8" xfId="0" applyNumberFormat="1" applyFont="1" applyBorder="1" applyAlignment="1">
      <alignment wrapText="1"/>
    </xf>
    <xf numFmtId="184" fontId="64" fillId="0" borderId="0" xfId="0" applyNumberFormat="1" applyFont="1" applyAlignment="1">
      <alignment wrapText="1"/>
    </xf>
    <xf numFmtId="184" fontId="67" fillId="0" borderId="8" xfId="0" applyNumberFormat="1" applyFont="1" applyBorder="1" applyAlignment="1">
      <alignment wrapText="1"/>
    </xf>
    <xf numFmtId="184" fontId="64" fillId="0" borderId="19" xfId="0" applyNumberFormat="1" applyFont="1" applyBorder="1" applyAlignment="1">
      <alignment wrapText="1"/>
    </xf>
    <xf numFmtId="184" fontId="12" fillId="0" borderId="8" xfId="0" applyNumberFormat="1" applyFont="1" applyBorder="1" applyAlignment="1">
      <alignment wrapText="1"/>
    </xf>
    <xf numFmtId="0" fontId="12" fillId="0" borderId="11" xfId="0" applyFont="1" applyBorder="1" applyAlignment="1">
      <alignment wrapText="1"/>
    </xf>
    <xf numFmtId="184" fontId="65" fillId="0" borderId="7" xfId="0" applyNumberFormat="1" applyFont="1" applyBorder="1" applyAlignment="1">
      <alignment wrapText="1"/>
    </xf>
    <xf numFmtId="184" fontId="65" fillId="0" borderId="8" xfId="0" applyNumberFormat="1" applyFont="1" applyBorder="1" applyAlignment="1">
      <alignment wrapText="1"/>
    </xf>
    <xf numFmtId="184" fontId="72" fillId="0" borderId="8" xfId="0" applyNumberFormat="1" applyFont="1" applyBorder="1" applyAlignment="1">
      <alignment wrapText="1"/>
    </xf>
    <xf numFmtId="184" fontId="12" fillId="0" borderId="7" xfId="0" applyNumberFormat="1" applyFont="1" applyBorder="1" applyAlignment="1">
      <alignment wrapText="1"/>
    </xf>
    <xf numFmtId="184" fontId="12" fillId="0" borderId="20" xfId="0" applyNumberFormat="1" applyFont="1" applyBorder="1" applyAlignment="1">
      <alignment wrapText="1"/>
    </xf>
    <xf numFmtId="10" fontId="73" fillId="0" borderId="6" xfId="0" applyNumberFormat="1" applyFont="1" applyFill="1" applyBorder="1" applyAlignment="1">
      <alignment wrapText="1"/>
    </xf>
    <xf numFmtId="10" fontId="66" fillId="0" borderId="18" xfId="0" applyNumberFormat="1" applyFont="1" applyFill="1" applyBorder="1" applyAlignment="1">
      <alignment wrapText="1"/>
    </xf>
    <xf numFmtId="10" fontId="66" fillId="0" borderId="8" xfId="0" applyNumberFormat="1" applyFont="1" applyFill="1" applyBorder="1" applyAlignment="1">
      <alignment wrapText="1"/>
    </xf>
    <xf numFmtId="10" fontId="12" fillId="0" borderId="8" xfId="0" applyNumberFormat="1" applyFont="1" applyFill="1" applyBorder="1" applyAlignment="1">
      <alignment wrapText="1"/>
    </xf>
    <xf numFmtId="10" fontId="66" fillId="0" borderId="19" xfId="0" applyNumberFormat="1" applyFont="1" applyFill="1" applyBorder="1" applyAlignment="1">
      <alignment wrapText="1"/>
    </xf>
    <xf numFmtId="10" fontId="12" fillId="0" borderId="10" xfId="0" applyNumberFormat="1" applyFont="1" applyFill="1" applyBorder="1" applyAlignment="1">
      <alignment wrapText="1"/>
    </xf>
    <xf numFmtId="10" fontId="12" fillId="0" borderId="7" xfId="0" applyNumberFormat="1" applyFont="1" applyFill="1" applyBorder="1" applyAlignment="1">
      <alignment wrapText="1"/>
    </xf>
    <xf numFmtId="10" fontId="74" fillId="0" borderId="8" xfId="0" applyNumberFormat="1" applyFont="1" applyFill="1" applyBorder="1" applyAlignment="1">
      <alignment wrapText="1"/>
    </xf>
    <xf numFmtId="10" fontId="62" fillId="0" borderId="0" xfId="0" applyNumberFormat="1" applyFont="1" applyFill="1" applyBorder="1" applyAlignment="1" applyProtection="1">
      <alignment wrapText="1"/>
    </xf>
    <xf numFmtId="10" fontId="72" fillId="0" borderId="8" xfId="0" applyNumberFormat="1" applyFont="1" applyFill="1" applyBorder="1" applyAlignment="1">
      <alignment wrapText="1"/>
    </xf>
    <xf numFmtId="10" fontId="67" fillId="0" borderId="7" xfId="0" applyNumberFormat="1" applyFont="1" applyFill="1" applyBorder="1" applyAlignment="1">
      <alignment wrapText="1"/>
    </xf>
    <xf numFmtId="10" fontId="67" fillId="0" borderId="8" xfId="0" applyNumberFormat="1" applyFont="1" applyFill="1" applyBorder="1" applyAlignment="1">
      <alignment wrapText="1"/>
    </xf>
    <xf numFmtId="10" fontId="67" fillId="0" borderId="20" xfId="0" applyNumberFormat="1" applyFont="1" applyFill="1" applyBorder="1" applyAlignment="1">
      <alignment wrapText="1"/>
    </xf>
    <xf numFmtId="10" fontId="65" fillId="0" borderId="6" xfId="0" applyNumberFormat="1" applyFont="1" applyFill="1" applyBorder="1" applyAlignment="1">
      <alignment wrapText="1"/>
    </xf>
    <xf numFmtId="10" fontId="65" fillId="0" borderId="0" xfId="0" applyNumberFormat="1" applyFont="1" applyFill="1" applyAlignment="1">
      <alignment wrapText="1"/>
    </xf>
    <xf numFmtId="10" fontId="71" fillId="0" borderId="11" xfId="0" applyNumberFormat="1" applyFont="1" applyFill="1" applyBorder="1" applyAlignment="1">
      <alignment wrapText="1"/>
    </xf>
    <xf numFmtId="184" fontId="63" fillId="0" borderId="6" xfId="0" applyNumberFormat="1" applyFont="1" applyBorder="1" applyAlignment="1">
      <alignment wrapText="1"/>
    </xf>
    <xf numFmtId="184" fontId="63" fillId="0" borderId="11" xfId="0" applyNumberFormat="1" applyFont="1" applyBorder="1" applyAlignment="1">
      <alignment wrapText="1"/>
    </xf>
    <xf numFmtId="184" fontId="65" fillId="0" borderId="11" xfId="0" applyNumberFormat="1" applyFont="1" applyBorder="1" applyAlignment="1">
      <alignment wrapText="1"/>
    </xf>
    <xf numFmtId="184" fontId="62" fillId="0" borderId="7" xfId="0" applyNumberFormat="1" applyFont="1" applyBorder="1" applyAlignment="1">
      <alignment wrapText="1"/>
    </xf>
    <xf numFmtId="184" fontId="62" fillId="0" borderId="8" xfId="0" applyNumberFormat="1" applyFont="1" applyBorder="1" applyAlignment="1">
      <alignment wrapText="1"/>
    </xf>
    <xf numFmtId="184" fontId="62" fillId="0" borderId="9" xfId="0" applyNumberFormat="1" applyFont="1" applyBorder="1" applyAlignment="1">
      <alignment wrapText="1"/>
    </xf>
    <xf numFmtId="184" fontId="62" fillId="0" borderId="10" xfId="0" applyNumberFormat="1" applyFont="1" applyBorder="1" applyAlignment="1">
      <alignment wrapText="1"/>
    </xf>
    <xf numFmtId="184" fontId="62" fillId="0" borderId="19" xfId="0" applyNumberFormat="1" applyFont="1" applyBorder="1" applyAlignment="1">
      <alignment wrapText="1"/>
    </xf>
    <xf numFmtId="10" fontId="67" fillId="0" borderId="21" xfId="0" applyNumberFormat="1" applyFont="1" applyFill="1" applyBorder="1" applyAlignment="1">
      <alignment wrapText="1"/>
    </xf>
    <xf numFmtId="10" fontId="12" fillId="0" borderId="9" xfId="0" applyNumberFormat="1" applyFont="1" applyFill="1" applyBorder="1" applyAlignment="1">
      <alignment wrapText="1"/>
    </xf>
    <xf numFmtId="10" fontId="75" fillId="0" borderId="10" xfId="0" applyNumberFormat="1" applyFont="1" applyFill="1" applyBorder="1" applyAlignment="1">
      <alignment wrapText="1"/>
    </xf>
    <xf numFmtId="10" fontId="62" fillId="0" borderId="7" xfId="0" applyNumberFormat="1" applyFont="1" applyFill="1" applyBorder="1" applyAlignment="1">
      <alignment wrapText="1"/>
    </xf>
    <xf numFmtId="10" fontId="62" fillId="0" borderId="8" xfId="0" applyNumberFormat="1" applyFont="1" applyFill="1" applyBorder="1" applyAlignment="1">
      <alignment wrapText="1"/>
    </xf>
    <xf numFmtId="10" fontId="62" fillId="0" borderId="9" xfId="0" applyNumberFormat="1" applyFont="1" applyFill="1" applyBorder="1" applyAlignment="1">
      <alignment wrapText="1"/>
    </xf>
    <xf numFmtId="10" fontId="62" fillId="0" borderId="10" xfId="0" applyNumberFormat="1" applyFont="1" applyFill="1" applyBorder="1" applyAlignment="1">
      <alignment wrapText="1"/>
    </xf>
    <xf numFmtId="10" fontId="12" fillId="0" borderId="20" xfId="0" applyNumberFormat="1" applyFont="1" applyFill="1" applyBorder="1" applyAlignment="1">
      <alignment wrapText="1"/>
    </xf>
    <xf numFmtId="10" fontId="71" fillId="0" borderId="13" xfId="0" applyNumberFormat="1" applyFont="1" applyFill="1" applyBorder="1" applyAlignment="1">
      <alignment wrapText="1"/>
    </xf>
    <xf numFmtId="10" fontId="71" fillId="0" borderId="7" xfId="0" applyNumberFormat="1" applyFont="1" applyFill="1" applyBorder="1" applyAlignment="1">
      <alignment wrapText="1"/>
    </xf>
    <xf numFmtId="10" fontId="71" fillId="0" borderId="8" xfId="0" applyNumberFormat="1" applyFont="1" applyFill="1" applyBorder="1" applyAlignment="1">
      <alignment wrapText="1"/>
    </xf>
    <xf numFmtId="10" fontId="71" fillId="0" borderId="9" xfId="0" applyNumberFormat="1" applyFont="1" applyFill="1" applyBorder="1" applyAlignment="1">
      <alignment wrapText="1"/>
    </xf>
    <xf numFmtId="10" fontId="71" fillId="0" borderId="10" xfId="0" applyNumberFormat="1" applyFont="1" applyFill="1" applyBorder="1" applyAlignment="1">
      <alignment wrapText="1"/>
    </xf>
    <xf numFmtId="10" fontId="71" fillId="0" borderId="19" xfId="0" applyNumberFormat="1" applyFont="1" applyFill="1" applyBorder="1" applyAlignment="1">
      <alignment wrapText="1"/>
    </xf>
    <xf numFmtId="0" fontId="11" fillId="0" borderId="23" xfId="0" applyFont="1" applyBorder="1"/>
    <xf numFmtId="184" fontId="12" fillId="0" borderId="24" xfId="0" applyNumberFormat="1" applyFont="1" applyBorder="1" applyAlignment="1">
      <alignment wrapText="1"/>
    </xf>
    <xf numFmtId="184" fontId="12" fillId="0" borderId="25" xfId="0" applyNumberFormat="1" applyFont="1" applyBorder="1" applyAlignment="1">
      <alignment wrapText="1"/>
    </xf>
    <xf numFmtId="184" fontId="12" fillId="0" borderId="9" xfId="0" applyNumberFormat="1" applyFont="1" applyBorder="1" applyAlignment="1">
      <alignment wrapText="1"/>
    </xf>
    <xf numFmtId="184" fontId="12" fillId="0" borderId="10" xfId="0" applyNumberFormat="1" applyFont="1" applyBorder="1" applyAlignment="1">
      <alignment wrapText="1"/>
    </xf>
    <xf numFmtId="184" fontId="12" fillId="0" borderId="26" xfId="0" applyNumberFormat="1" applyFont="1" applyBorder="1" applyAlignment="1">
      <alignment wrapText="1"/>
    </xf>
    <xf numFmtId="184" fontId="12" fillId="0" borderId="27" xfId="0" applyNumberFormat="1" applyFont="1" applyBorder="1" applyAlignment="1">
      <alignment wrapText="1"/>
    </xf>
    <xf numFmtId="184" fontId="12" fillId="0" borderId="28" xfId="0" applyNumberFormat="1" applyFont="1" applyBorder="1" applyAlignment="1">
      <alignment wrapText="1"/>
    </xf>
    <xf numFmtId="10" fontId="12" fillId="0" borderId="24" xfId="0" applyNumberFormat="1" applyFont="1" applyFill="1" applyBorder="1" applyAlignment="1">
      <alignment wrapText="1"/>
    </xf>
    <xf numFmtId="10" fontId="12" fillId="0" borderId="25" xfId="0" applyNumberFormat="1" applyFont="1" applyFill="1" applyBorder="1" applyAlignment="1">
      <alignment wrapText="1"/>
    </xf>
    <xf numFmtId="10" fontId="12" fillId="0" borderId="26" xfId="0" applyNumberFormat="1" applyFont="1" applyFill="1" applyBorder="1" applyAlignment="1">
      <alignment wrapText="1"/>
    </xf>
    <xf numFmtId="10" fontId="12" fillId="0" borderId="27" xfId="0" applyNumberFormat="1" applyFont="1" applyFill="1" applyBorder="1" applyAlignment="1">
      <alignment wrapText="1"/>
    </xf>
    <xf numFmtId="10" fontId="70" fillId="0" borderId="13" xfId="0" applyNumberFormat="1" applyFont="1" applyFill="1" applyBorder="1" applyAlignment="1">
      <alignment wrapText="1"/>
    </xf>
    <xf numFmtId="10" fontId="70" fillId="0" borderId="27" xfId="0" applyNumberFormat="1" applyFont="1" applyFill="1" applyBorder="1" applyAlignment="1">
      <alignment wrapText="1"/>
    </xf>
    <xf numFmtId="10" fontId="70" fillId="0" borderId="11" xfId="0" applyNumberFormat="1" applyFont="1" applyFill="1" applyBorder="1" applyAlignment="1">
      <alignment wrapText="1"/>
    </xf>
    <xf numFmtId="10" fontId="70" fillId="0" borderId="0" xfId="0" applyNumberFormat="1" applyFont="1" applyFill="1" applyAlignment="1">
      <alignment wrapText="1"/>
    </xf>
    <xf numFmtId="10" fontId="70" fillId="0" borderId="25" xfId="0" applyNumberFormat="1" applyFont="1" applyFill="1" applyBorder="1" applyAlignment="1">
      <alignment wrapText="1"/>
    </xf>
    <xf numFmtId="10" fontId="70" fillId="0" borderId="16" xfId="0" applyNumberFormat="1" applyFont="1" applyFill="1" applyBorder="1" applyAlignment="1">
      <alignment wrapText="1"/>
    </xf>
    <xf numFmtId="10" fontId="70" fillId="0" borderId="17" xfId="0" applyNumberFormat="1" applyFont="1" applyFill="1" applyBorder="1" applyAlignment="1">
      <alignment wrapText="1"/>
    </xf>
    <xf numFmtId="10" fontId="70" fillId="0" borderId="28" xfId="0" applyNumberFormat="1" applyFont="1" applyFill="1" applyBorder="1" applyAlignment="1">
      <alignment wrapText="1"/>
    </xf>
    <xf numFmtId="10" fontId="71" fillId="0" borderId="27" xfId="0" applyNumberFormat="1" applyFont="1" applyFill="1" applyBorder="1" applyAlignment="1">
      <alignment wrapText="1"/>
    </xf>
    <xf numFmtId="10" fontId="71" fillId="0" borderId="25" xfId="0" applyNumberFormat="1" applyFont="1" applyFill="1" applyBorder="1" applyAlignment="1">
      <alignment wrapText="1"/>
    </xf>
    <xf numFmtId="10" fontId="71" fillId="0" borderId="16" xfId="0" applyNumberFormat="1" applyFont="1" applyFill="1" applyBorder="1" applyAlignment="1">
      <alignment wrapText="1"/>
    </xf>
    <xf numFmtId="10" fontId="71" fillId="0" borderId="17" xfId="0" applyNumberFormat="1" applyFont="1" applyFill="1" applyBorder="1" applyAlignment="1">
      <alignment wrapText="1"/>
    </xf>
    <xf numFmtId="10" fontId="71" fillId="0" borderId="28" xfId="0" applyNumberFormat="1" applyFont="1" applyFill="1" applyBorder="1" applyAlignment="1">
      <alignment wrapText="1"/>
    </xf>
    <xf numFmtId="0" fontId="76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0" borderId="4" xfId="0" applyFont="1" applyFill="1" applyBorder="1" applyAlignment="1"/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/>
    <xf numFmtId="0" fontId="11" fillId="0" borderId="3" xfId="0" applyFont="1" applyFill="1" applyBorder="1" applyAlignment="1"/>
    <xf numFmtId="0" fontId="11" fillId="0" borderId="4" xfId="0" applyFont="1" applyFill="1" applyBorder="1" applyAlignment="1">
      <alignment horizontal="center" vertical="center"/>
    </xf>
    <xf numFmtId="10" fontId="77" fillId="0" borderId="6" xfId="0" applyNumberFormat="1" applyFont="1" applyFill="1" applyBorder="1" applyAlignment="1">
      <alignment wrapText="1"/>
    </xf>
    <xf numFmtId="0" fontId="11" fillId="0" borderId="2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10" fontId="77" fillId="0" borderId="0" xfId="0" applyNumberFormat="1" applyFont="1" applyFill="1" applyAlignment="1">
      <alignment wrapText="1"/>
    </xf>
    <xf numFmtId="10" fontId="63" fillId="0" borderId="9" xfId="0" applyNumberFormat="1" applyFont="1" applyFill="1" applyBorder="1" applyAlignment="1">
      <alignment wrapText="1"/>
    </xf>
    <xf numFmtId="10" fontId="63" fillId="0" borderId="10" xfId="0" applyNumberFormat="1" applyFont="1" applyFill="1" applyBorder="1" applyAlignment="1">
      <alignment wrapText="1"/>
    </xf>
    <xf numFmtId="0" fontId="11" fillId="0" borderId="14" xfId="0" applyFont="1" applyFill="1" applyBorder="1" applyAlignment="1">
      <alignment horizontal="center" vertical="center"/>
    </xf>
    <xf numFmtId="0" fontId="11" fillId="0" borderId="15" xfId="0" applyFont="1" applyFill="1" applyBorder="1" applyAlignment="1">
      <alignment horizontal="center" vertical="center"/>
    </xf>
    <xf numFmtId="10" fontId="74" fillId="0" borderId="6" xfId="0" applyNumberFormat="1" applyFont="1" applyFill="1" applyBorder="1" applyAlignment="1">
      <alignment wrapText="1"/>
    </xf>
    <xf numFmtId="10" fontId="64" fillId="0" borderId="11" xfId="0" applyNumberFormat="1" applyFont="1" applyFill="1" applyBorder="1" applyAlignment="1">
      <alignment wrapText="1"/>
    </xf>
    <xf numFmtId="10" fontId="64" fillId="0" borderId="9" xfId="0" applyNumberFormat="1" applyFont="1" applyFill="1" applyBorder="1" applyAlignment="1">
      <alignment wrapText="1"/>
    </xf>
    <xf numFmtId="10" fontId="64" fillId="0" borderId="10" xfId="0" applyNumberFormat="1" applyFont="1" applyFill="1" applyBorder="1" applyAlignment="1">
      <alignment wrapText="1"/>
    </xf>
    <xf numFmtId="10" fontId="67" fillId="0" borderId="6" xfId="0" applyNumberFormat="1" applyFont="1" applyFill="1" applyBorder="1" applyAlignment="1">
      <alignment wrapText="1"/>
    </xf>
    <xf numFmtId="10" fontId="63" fillId="0" borderId="18" xfId="0" applyNumberFormat="1" applyFont="1" applyFill="1" applyBorder="1" applyAlignment="1">
      <alignment wrapText="1"/>
    </xf>
    <xf numFmtId="10" fontId="63" fillId="0" borderId="8" xfId="0" applyNumberFormat="1" applyFont="1" applyFill="1" applyBorder="1" applyAlignment="1">
      <alignment wrapText="1"/>
    </xf>
    <xf numFmtId="10" fontId="63" fillId="0" borderId="19" xfId="0" applyNumberFormat="1" applyFont="1" applyFill="1" applyBorder="1" applyAlignment="1">
      <alignment wrapText="1"/>
    </xf>
    <xf numFmtId="10" fontId="77" fillId="0" borderId="11" xfId="0" applyNumberFormat="1" applyFont="1" applyFill="1" applyBorder="1" applyAlignment="1">
      <alignment wrapText="1"/>
    </xf>
    <xf numFmtId="10" fontId="65" fillId="0" borderId="7" xfId="0" applyNumberFormat="1" applyFont="1" applyFill="1" applyBorder="1" applyAlignment="1">
      <alignment wrapText="1"/>
    </xf>
    <xf numFmtId="10" fontId="65" fillId="0" borderId="8" xfId="0" applyNumberFormat="1" applyFont="1" applyFill="1" applyBorder="1" applyAlignment="1">
      <alignment wrapText="1"/>
    </xf>
    <xf numFmtId="10" fontId="64" fillId="0" borderId="6" xfId="0" applyNumberFormat="1" applyFont="1" applyFill="1" applyBorder="1" applyAlignment="1">
      <alignment wrapText="1"/>
    </xf>
    <xf numFmtId="10" fontId="64" fillId="0" borderId="18" xfId="0" applyNumberFormat="1" applyFont="1" applyFill="1" applyBorder="1" applyAlignment="1">
      <alignment wrapText="1"/>
    </xf>
    <xf numFmtId="10" fontId="64" fillId="0" borderId="8" xfId="0" applyNumberFormat="1" applyFont="1" applyFill="1" applyBorder="1" applyAlignment="1">
      <alignment wrapText="1"/>
    </xf>
    <xf numFmtId="10" fontId="64" fillId="0" borderId="19" xfId="0" applyNumberFormat="1" applyFont="1" applyFill="1" applyBorder="1" applyAlignment="1">
      <alignment wrapText="1"/>
    </xf>
    <xf numFmtId="10" fontId="74" fillId="0" borderId="11" xfId="0" applyNumberFormat="1" applyFont="1" applyFill="1" applyBorder="1" applyAlignment="1">
      <alignment wrapText="1"/>
    </xf>
    <xf numFmtId="10" fontId="63" fillId="0" borderId="6" xfId="0" applyNumberFormat="1" applyFont="1" applyFill="1" applyBorder="1" applyAlignment="1">
      <alignment wrapText="1"/>
    </xf>
    <xf numFmtId="10" fontId="63" fillId="0" borderId="0" xfId="0" applyNumberFormat="1" applyFont="1" applyFill="1" applyAlignment="1">
      <alignment wrapText="1"/>
    </xf>
    <xf numFmtId="10" fontId="77" fillId="0" borderId="13" xfId="0" applyNumberFormat="1" applyFont="1" applyFill="1" applyBorder="1" applyAlignment="1">
      <alignment wrapText="1"/>
    </xf>
    <xf numFmtId="10" fontId="77" fillId="0" borderId="8" xfId="0" applyNumberFormat="1" applyFont="1" applyFill="1" applyBorder="1" applyAlignment="1">
      <alignment wrapText="1"/>
    </xf>
    <xf numFmtId="10" fontId="77" fillId="0" borderId="9" xfId="0" applyNumberFormat="1" applyFont="1" applyFill="1" applyBorder="1" applyAlignment="1">
      <alignment wrapText="1"/>
    </xf>
    <xf numFmtId="10" fontId="77" fillId="0" borderId="10" xfId="0" applyNumberFormat="1" applyFont="1" applyFill="1" applyBorder="1" applyAlignment="1">
      <alignment wrapText="1"/>
    </xf>
    <xf numFmtId="10" fontId="77" fillId="0" borderId="19" xfId="0" applyNumberFormat="1" applyFont="1" applyFill="1" applyBorder="1" applyAlignment="1">
      <alignment wrapText="1"/>
    </xf>
    <xf numFmtId="10" fontId="74" fillId="0" borderId="13" xfId="0" applyNumberFormat="1" applyFont="1" applyFill="1" applyBorder="1" applyAlignment="1">
      <alignment wrapText="1"/>
    </xf>
    <xf numFmtId="10" fontId="74" fillId="0" borderId="0" xfId="0" applyNumberFormat="1" applyFont="1" applyFill="1" applyAlignment="1">
      <alignment wrapText="1"/>
    </xf>
    <xf numFmtId="10" fontId="74" fillId="0" borderId="9" xfId="0" applyNumberFormat="1" applyFont="1" applyFill="1" applyBorder="1" applyAlignment="1">
      <alignment wrapText="1"/>
    </xf>
    <xf numFmtId="10" fontId="74" fillId="0" borderId="10" xfId="0" applyNumberFormat="1" applyFont="1" applyFill="1" applyBorder="1" applyAlignment="1">
      <alignment wrapText="1"/>
    </xf>
    <xf numFmtId="10" fontId="74" fillId="0" borderId="19" xfId="0" applyNumberFormat="1" applyFont="1" applyFill="1" applyBorder="1" applyAlignment="1">
      <alignment wrapText="1"/>
    </xf>
    <xf numFmtId="0" fontId="11" fillId="0" borderId="22" xfId="0" applyFont="1" applyFill="1" applyBorder="1" applyAlignment="1">
      <alignment horizontal="center" vertical="center"/>
    </xf>
    <xf numFmtId="0" fontId="11" fillId="0" borderId="23" xfId="0" applyFont="1" applyFill="1" applyBorder="1" applyAlignment="1"/>
    <xf numFmtId="10" fontId="77" fillId="0" borderId="27" xfId="0" applyNumberFormat="1" applyFont="1" applyFill="1" applyBorder="1" applyAlignment="1">
      <alignment wrapText="1"/>
    </xf>
    <xf numFmtId="10" fontId="77" fillId="0" borderId="25" xfId="0" applyNumberFormat="1" applyFont="1" applyFill="1" applyBorder="1" applyAlignment="1">
      <alignment wrapText="1"/>
    </xf>
    <xf numFmtId="10" fontId="77" fillId="0" borderId="16" xfId="0" applyNumberFormat="1" applyFont="1" applyFill="1" applyBorder="1" applyAlignment="1">
      <alignment wrapText="1"/>
    </xf>
    <xf numFmtId="10" fontId="77" fillId="0" borderId="17" xfId="0" applyNumberFormat="1" applyFont="1" applyFill="1" applyBorder="1" applyAlignment="1">
      <alignment wrapText="1"/>
    </xf>
    <xf numFmtId="10" fontId="77" fillId="0" borderId="28" xfId="0" applyNumberFormat="1" applyFont="1" applyFill="1" applyBorder="1" applyAlignment="1">
      <alignment wrapText="1"/>
    </xf>
    <xf numFmtId="10" fontId="74" fillId="0" borderId="27" xfId="0" applyNumberFormat="1" applyFont="1" applyFill="1" applyBorder="1" applyAlignment="1">
      <alignment wrapText="1"/>
    </xf>
    <xf numFmtId="10" fontId="74" fillId="0" borderId="25" xfId="0" applyNumberFormat="1" applyFont="1" applyFill="1" applyBorder="1" applyAlignment="1">
      <alignment wrapText="1"/>
    </xf>
    <xf numFmtId="10" fontId="74" fillId="0" borderId="16" xfId="0" applyNumberFormat="1" applyFont="1" applyFill="1" applyBorder="1" applyAlignment="1">
      <alignment wrapText="1"/>
    </xf>
    <xf numFmtId="10" fontId="74" fillId="0" borderId="17" xfId="0" applyNumberFormat="1" applyFont="1" applyFill="1" applyBorder="1" applyAlignment="1">
      <alignment wrapText="1"/>
    </xf>
    <xf numFmtId="10" fontId="74" fillId="0" borderId="28" xfId="0" applyNumberFormat="1" applyFont="1" applyFill="1" applyBorder="1" applyAlignment="1">
      <alignment wrapText="1"/>
    </xf>
    <xf numFmtId="1" fontId="0" fillId="0" borderId="0" xfId="0" applyNumberFormat="1"/>
    <xf numFmtId="177" fontId="0" fillId="0" borderId="0" xfId="0" applyNumberFormat="1"/>
    <xf numFmtId="176" fontId="0" fillId="0" borderId="0" xfId="0" applyNumberFormat="1"/>
    <xf numFmtId="0" fontId="78" fillId="0" borderId="0" xfId="0" applyFont="1"/>
    <xf numFmtId="182" fontId="0" fillId="0" borderId="0" xfId="0" applyNumberFormat="1"/>
    <xf numFmtId="179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2"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E65EE8"/>
      <color rgb="00D33745"/>
      <color rgb="00FF5151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Xu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pop!$H$3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pop!$H$4:$H$7</c:f>
              <c:numCache>
                <c:formatCode>0.000</c:formatCode>
                <c:ptCount val="4"/>
                <c:pt idx="0">
                  <c:v>0.266201987246033</c:v>
                </c:pt>
                <c:pt idx="1">
                  <c:v>0.43448883666275</c:v>
                </c:pt>
                <c:pt idx="2">
                  <c:v>0.562757032406646</c:v>
                </c:pt>
                <c:pt idx="3">
                  <c:v>0.388904533934103</c:v>
                </c:pt>
              </c:numCache>
            </c:numRef>
          </c:val>
        </c:ser>
        <c:ser>
          <c:idx val="1"/>
          <c:order val="1"/>
          <c:tx>
            <c:strRef>
              <c:f>pop!$I$3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pop!$I$4:$I$7</c:f>
              <c:numCache>
                <c:formatCode>0.000</c:formatCode>
                <c:ptCount val="4"/>
                <c:pt idx="0">
                  <c:v>0.099510603588907</c:v>
                </c:pt>
                <c:pt idx="1">
                  <c:v>0.169212690951821</c:v>
                </c:pt>
                <c:pt idx="2">
                  <c:v>0.198716894226024</c:v>
                </c:pt>
                <c:pt idx="3">
                  <c:v>0.239650802590819</c:v>
                </c:pt>
              </c:numCache>
            </c:numRef>
          </c:val>
        </c:ser>
        <c:ser>
          <c:idx val="2"/>
          <c:order val="2"/>
          <c:tx>
            <c:strRef>
              <c:f>pop!$J$3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pop!$G$4:$G$7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pop!$J$4:$J$7</c:f>
              <c:numCache>
                <c:formatCode>0.000</c:formatCode>
                <c:ptCount val="4"/>
                <c:pt idx="0">
                  <c:v>0.129912501853774</c:v>
                </c:pt>
                <c:pt idx="1">
                  <c:v>0.0289365452408931</c:v>
                </c:pt>
                <c:pt idx="2">
                  <c:v>0.0352031584142129</c:v>
                </c:pt>
                <c:pt idx="3">
                  <c:v>0.0802590819487468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Interneuron ratios (Lee, Rudy, </a:t>
            </a: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2010</a:t>
            </a:r>
            <a:r>
              <a:rPr lang="en-US" altLang="en-US" sz="1400" b="0" strike="noStrike" spc="-1">
                <a:solidFill>
                  <a:srgbClr val="595959"/>
                </a:solidFill>
                <a:latin typeface="Calibri"/>
              </a:rPr>
              <a:t>)</a:t>
            </a:r>
            <a:endParaRPr lang="en-US" alt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pop!$H$9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pop!$H$10:$H$13</c:f>
              <c:numCache>
                <c:formatCode>0.000</c:formatCode>
                <c:ptCount val="4"/>
                <c:pt idx="0">
                  <c:v>0.253467843631778</c:v>
                </c:pt>
                <c:pt idx="1">
                  <c:v>0.564943253467843</c:v>
                </c:pt>
                <c:pt idx="2">
                  <c:v>0.467843631778058</c:v>
                </c:pt>
                <c:pt idx="3">
                  <c:v>0.365699873896595</c:v>
                </c:pt>
              </c:numCache>
            </c:numRef>
          </c:val>
        </c:ser>
        <c:ser>
          <c:idx val="1"/>
          <c:order val="1"/>
          <c:tx>
            <c:strRef>
              <c:f>pop!$I$9</c:f>
              <c:strCache>
                <c:ptCount val="1"/>
                <c:pt idx="0">
                  <c:v>SOM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pop!$I$10:$I$13</c:f>
              <c:numCache>
                <c:formatCode>General</c:formatCode>
                <c:ptCount val="4"/>
                <c:pt idx="0">
                  <c:v>0.205548549810844</c:v>
                </c:pt>
                <c:pt idx="1">
                  <c:v>0.316519546027742</c:v>
                </c:pt>
                <c:pt idx="2">
                  <c:v>0.453972257250945</c:v>
                </c:pt>
                <c:pt idx="3">
                  <c:v>0.438839848675914</c:v>
                </c:pt>
              </c:numCache>
            </c:numRef>
          </c:val>
        </c:ser>
        <c:ser>
          <c:idx val="2"/>
          <c:order val="2"/>
          <c:tx>
            <c:strRef>
              <c:f>pop!$J$9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pop!$G$10:$G$13</c:f>
              <c:strCache>
                <c:ptCount val="4"/>
                <c:pt idx="0">
                  <c:v>L23</c:v>
                </c:pt>
                <c:pt idx="1">
                  <c:v>L4</c:v>
                </c:pt>
                <c:pt idx="2">
                  <c:v>L5</c:v>
                </c:pt>
                <c:pt idx="3">
                  <c:v>L6</c:v>
                </c:pt>
              </c:strCache>
            </c:strRef>
          </c:cat>
          <c:val>
            <c:numRef>
              <c:f>pop!$J$10:$J$13</c:f>
              <c:numCache>
                <c:formatCode>General</c:formatCode>
                <c:ptCount val="4"/>
                <c:pt idx="0">
                  <c:v>0.20173266988678</c:v>
                </c:pt>
                <c:pt idx="1">
                  <c:v>0.0505423129276476</c:v>
                </c:pt>
                <c:pt idx="2">
                  <c:v>0.0304882295901412</c:v>
                </c:pt>
                <c:pt idx="3">
                  <c:v>0.030058817905773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1"/>
        </c:dLbls>
        <c:gapWidth val="219"/>
        <c:overlap val="-27"/>
        <c:axId val="5817459"/>
        <c:axId val="15520431"/>
      </c:barChart>
      <c:catAx>
        <c:axId val="58174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 cap="flat" cmpd="sng" algn="ctr">
            <a:solidFill>
              <a:srgbClr val="D9D9D9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15520431"/>
        <c:crosses val="autoZero"/>
        <c:auto val="1"/>
        <c:lblAlgn val="ctr"/>
        <c:lblOffset val="100"/>
        <c:noMultiLvlLbl val="0"/>
      </c:catAx>
      <c:valAx>
        <c:axId val="15520431"/>
        <c:scaling>
          <c:orientation val="minMax"/>
        </c:scaling>
        <c:delete val="0"/>
        <c:axPos val="l"/>
        <c:majorGridlines>
          <c:spPr>
            <a:ln w="9360" cap="flat" cmpd="sng" algn="ctr">
              <a:solidFill>
                <a:srgbClr val="D9D9D9"/>
              </a:solidFill>
              <a:prstDash val="solid"/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6480" cap="flat" cmpd="sng" algn="ctr">
            <a:noFill/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spc="-1" baseline="0">
                <a:solidFill>
                  <a:srgbClr val="595959"/>
                </a:solidFill>
                <a:latin typeface="Calibri"/>
                <a:ea typeface="+mn-ea"/>
                <a:cs typeface="+mn-cs"/>
              </a:defRPr>
            </a:pPr>
          </a:p>
        </c:txPr>
        <c:crossAx val="5817459"/>
        <c:crosses val="autoZero"/>
        <c:crossBetween val="between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spc="-1" baseline="0">
              <a:solidFill>
                <a:srgbClr val="595959"/>
              </a:solidFill>
              <a:latin typeface="Calibri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FFFFF"/>
    </a:solidFill>
    <a:ln w="9360" cap="flat" cmpd="sng" algn="ctr">
      <a:solidFill>
        <a:srgbClr val="D9D9D9"/>
      </a:solidFill>
      <a:prstDash val="solid"/>
      <a:round/>
    </a:ln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cnn!$C$19:$P$19</c:f>
              <c:numCache>
                <c:formatCode>0.00%</c:formatCode>
                <c:ptCount val="1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  <c:pt idx="4">
                  <c:v>0.131578947368421</c:v>
                </c:pt>
                <c:pt idx="7">
                  <c:v>0.0263620386643234</c:v>
                </c:pt>
                <c:pt idx="8">
                  <c:v>0.101449275362319</c:v>
                </c:pt>
                <c:pt idx="9">
                  <c:v>0.21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cnn!$C$20:$P$20</c:f>
              <c:numCache>
                <c:formatCode>0.00%</c:formatCode>
                <c:ptCount val="1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  <c:pt idx="7">
                  <c:v>0.0289017341040462</c:v>
                </c:pt>
                <c:pt idx="8">
                  <c:v>0.218181818181818</c:v>
                </c:pt>
                <c:pt idx="9">
                  <c:v>0.252032520325203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cnn!$C$21:$P$21</c:f>
              <c:numCache>
                <c:formatCode>0.00%</c:formatCode>
                <c:ptCount val="1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  <c:pt idx="8">
                  <c:v>0.025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cnn!$C$22:$P$22</c:f>
              <c:numCache>
                <c:formatCode>0.00%</c:formatCode>
                <c:ptCount val="14"/>
              </c:numCache>
            </c:numRef>
          </c:val>
        </c:ser>
        <c:ser>
          <c:idx val="4"/>
          <c:order val="4"/>
          <c:tx>
            <c:strRef>
              <c:f>cnn!$A$23:$B$23</c:f>
              <c:strCache>
                <c:ptCount val="1"/>
                <c:pt idx="0">
                  <c:v>L4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cnn!$C$23:$P$23</c:f>
              <c:numCache>
                <c:formatCode>0.00%</c:formatCode>
                <c:ptCount val="14"/>
                <c:pt idx="0">
                  <c:v>0.0158730158730159</c:v>
                </c:pt>
                <c:pt idx="4">
                  <c:v>0.24282982791587</c:v>
                </c:pt>
                <c:pt idx="5">
                  <c:v>0.63</c:v>
                </c:pt>
                <c:pt idx="6">
                  <c:v>0.38</c:v>
                </c:pt>
                <c:pt idx="7">
                  <c:v>0.00728155339805825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cnn!$A$24:$B$24</c:f>
              <c:strCache>
                <c:ptCount val="1"/>
                <c:pt idx="0">
                  <c:v>L4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cnn!$C$24:$P$24</c:f>
              <c:numCache>
                <c:formatCode>0.00%</c:formatCode>
                <c:ptCount val="14"/>
                <c:pt idx="4">
                  <c:v>0.129</c:v>
                </c:pt>
                <c:pt idx="5">
                  <c:v>0.48</c:v>
                </c:pt>
                <c:pt idx="6">
                  <c:v>0.56</c:v>
                </c:pt>
              </c:numCache>
            </c:numRef>
          </c:val>
        </c:ser>
        <c:ser>
          <c:idx val="6"/>
          <c:order val="6"/>
          <c:tx>
            <c:strRef>
              <c:f>cnn!$A$25:$B$25</c:f>
              <c:strCache>
                <c:ptCount val="1"/>
                <c:pt idx="0">
                  <c:v>L4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cnn!$C$25:$P$25</c:f>
              <c:numCache>
                <c:formatCode>0.00%</c:formatCode>
                <c:ptCount val="14"/>
                <c:pt idx="4">
                  <c:v>0.125</c:v>
                </c:pt>
                <c:pt idx="5">
                  <c:v>0.61</c:v>
                </c:pt>
                <c:pt idx="6">
                  <c:v>0.0384615384615385</c:v>
                </c:pt>
              </c:numCache>
            </c:numRef>
          </c:val>
        </c:ser>
        <c:ser>
          <c:idx val="7"/>
          <c:order val="7"/>
          <c:tx>
            <c:strRef>
              <c:f>cnn!$A$26:$B$26</c:f>
              <c:strCache>
                <c:ptCount val="1"/>
                <c:pt idx="0">
                  <c:v>L5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cnn!$C$26:$P$26</c:f>
              <c:numCache>
                <c:formatCode>0.00%</c:formatCode>
                <c:ptCount val="14"/>
                <c:pt idx="0">
                  <c:v>0.0947368421052632</c:v>
                </c:pt>
                <c:pt idx="1">
                  <c:v>0.0594594594594595</c:v>
                </c:pt>
                <c:pt idx="2">
                  <c:v>0.0810810810810811</c:v>
                </c:pt>
                <c:pt idx="4">
                  <c:v>0.104368932038835</c:v>
                </c:pt>
                <c:pt idx="7">
                  <c:v>0.127856365614799</c:v>
                </c:pt>
                <c:pt idx="8">
                  <c:v>0.25</c:v>
                </c:pt>
                <c:pt idx="9">
                  <c:v>0.210526315789474</c:v>
                </c:pt>
                <c:pt idx="10">
                  <c:v>0.0115384615384615</c:v>
                </c:pt>
              </c:numCache>
            </c:numRef>
          </c:val>
        </c:ser>
        <c:ser>
          <c:idx val="8"/>
          <c:order val="8"/>
          <c:tx>
            <c:strRef>
              <c:f>cnn!$A$27:$B$27</c:f>
              <c:strCache>
                <c:ptCount val="1"/>
                <c:pt idx="0">
                  <c:v>L5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cnn!$C$27:$P$27</c:f>
              <c:numCache>
                <c:formatCode>0.00%</c:formatCode>
                <c:ptCount val="14"/>
                <c:pt idx="0">
                  <c:v>0.0793650793650794</c:v>
                </c:pt>
                <c:pt idx="1">
                  <c:v>0.136363636363636</c:v>
                </c:pt>
                <c:pt idx="2">
                  <c:v>0.05</c:v>
                </c:pt>
                <c:pt idx="7">
                  <c:v>0.11304347826087</c:v>
                </c:pt>
                <c:pt idx="8">
                  <c:v>0.477611940298507</c:v>
                </c:pt>
                <c:pt idx="9">
                  <c:v>0.346666666666667</c:v>
                </c:pt>
              </c:numCache>
            </c:numRef>
          </c:val>
        </c:ser>
        <c:ser>
          <c:idx val="9"/>
          <c:order val="9"/>
          <c:tx>
            <c:strRef>
              <c:f>cnn!$A$28:$B$28</c:f>
              <c:strCache>
                <c:ptCount val="1"/>
                <c:pt idx="0">
                  <c:v>L5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cnn!$C$28:$P$28</c:f>
              <c:numCache>
                <c:formatCode>0.00%</c:formatCode>
                <c:ptCount val="14"/>
                <c:pt idx="0">
                  <c:v>0.112359550561798</c:v>
                </c:pt>
                <c:pt idx="1">
                  <c:v>0.00813008130081301</c:v>
                </c:pt>
                <c:pt idx="7">
                  <c:v>0.0784313725490196</c:v>
                </c:pt>
                <c:pt idx="8">
                  <c:v>0.157894736842105</c:v>
                </c:pt>
                <c:pt idx="9">
                  <c:v>0.0498220640569395</c:v>
                </c:pt>
              </c:numCache>
            </c:numRef>
          </c:val>
        </c:ser>
        <c:ser>
          <c:idx val="10"/>
          <c:order val="10"/>
          <c:tx>
            <c:strRef>
              <c:f>cnn!$A$29:$B$29</c:f>
              <c:strCache>
                <c:ptCount val="1"/>
                <c:pt idx="0">
                  <c:v>L6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cnn!$C$29:$P$29</c:f>
              <c:numCache>
                <c:formatCode>0.00%</c:formatCode>
                <c:ptCount val="14"/>
                <c:pt idx="0">
                  <c:v>0</c:v>
                </c:pt>
                <c:pt idx="4">
                  <c:v>0.032258064516129</c:v>
                </c:pt>
                <c:pt idx="7">
                  <c:v>0.0465116279069767</c:v>
                </c:pt>
                <c:pt idx="10">
                  <c:v>0.0281954887218045</c:v>
                </c:pt>
                <c:pt idx="11">
                  <c:v>0.436666666666667</c:v>
                </c:pt>
                <c:pt idx="12">
                  <c:v>0.405175438596491</c:v>
                </c:pt>
              </c:numCache>
            </c:numRef>
          </c:val>
        </c:ser>
        <c:ser>
          <c:idx val="11"/>
          <c:order val="11"/>
          <c:tx>
            <c:strRef>
              <c:f>cnn!$A$30:$B$30</c:f>
              <c:strCache>
                <c:ptCount val="1"/>
                <c:pt idx="0">
                  <c:v>L6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cnn!$C$30:$P$30</c:f>
              <c:numCache>
                <c:formatCode>0.00%</c:formatCode>
                <c:ptCount val="14"/>
                <c:pt idx="10">
                  <c:v>0.25068115942029</c:v>
                </c:pt>
                <c:pt idx="11">
                  <c:v>0.475192838038221</c:v>
                </c:pt>
                <c:pt idx="12">
                  <c:v>0.398996415770609</c:v>
                </c:pt>
              </c:numCache>
            </c:numRef>
          </c:val>
        </c:ser>
        <c:ser>
          <c:idx val="12"/>
          <c:order val="12"/>
          <c:tx>
            <c:strRef>
              <c:f>cnn!$A$31:$B$31</c:f>
              <c:strCache>
                <c:ptCount val="1"/>
                <c:pt idx="0">
                  <c:v>L6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cnn!$C$17:$P$18</c:f>
              <c:multiLvlStrCache>
                <c:ptCount val="1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  <c:pt idx="4">
                    <c:v>E</c:v>
                  </c:pt>
                  <c:pt idx="5">
                    <c:v>PV</c:v>
                  </c:pt>
                  <c:pt idx="6">
                    <c:v>SOM</c:v>
                  </c:pt>
                  <c:pt idx="7">
                    <c:v>E</c:v>
                  </c:pt>
                  <c:pt idx="8">
                    <c:v>PV</c:v>
                  </c:pt>
                  <c:pt idx="9">
                    <c:v>SOM</c:v>
                  </c:pt>
                  <c:pt idx="10">
                    <c:v>E</c:v>
                  </c:pt>
                  <c:pt idx="11">
                    <c:v>PV</c:v>
                  </c:pt>
                  <c:pt idx="12">
                    <c:v>SOM</c:v>
                  </c:pt>
                </c:lvl>
                <c:lvl>
                  <c:pt idx="0">
                    <c:v>L2/3</c:v>
                  </c:pt>
                  <c:pt idx="4">
                    <c:v>L4</c:v>
                  </c:pt>
                  <c:pt idx="7">
                    <c:v>L5</c:v>
                  </c:pt>
                  <c:pt idx="10">
                    <c:v>L6</c:v>
                  </c:pt>
                </c:lvl>
              </c:multiLvlStrCache>
            </c:multiLvlStrRef>
          </c:cat>
          <c:val>
            <c:numRef>
              <c:f>cnn!$C$31:$P$31</c:f>
              <c:numCache>
                <c:formatCode>0.00%</c:formatCode>
                <c:ptCount val="14"/>
                <c:pt idx="10">
                  <c:v>0.171143790849673</c:v>
                </c:pt>
                <c:pt idx="11">
                  <c:v>0.446441102756892</c:v>
                </c:pt>
                <c:pt idx="12">
                  <c:v>0.0413326294109212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376079630"/>
        <c:axId val="300968917"/>
      </c:barChart>
      <c:catAx>
        <c:axId val="3760796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0968917"/>
        <c:crosses val="autoZero"/>
        <c:auto val="1"/>
        <c:lblAlgn val="ctr"/>
        <c:lblOffset val="100"/>
        <c:noMultiLvlLbl val="0"/>
      </c:catAx>
      <c:valAx>
        <c:axId val="30096891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6079630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lang="en-US" sz="1400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cnn!$A$19:$B$19</c:f>
              <c:strCache>
                <c:ptCount val="1"/>
                <c:pt idx="0">
                  <c:v>L2/3 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cnn!$C$19:$F$19</c:f>
              <c:numCache>
                <c:formatCode>0.00%</c:formatCode>
                <c:ptCount val="4"/>
                <c:pt idx="0">
                  <c:v>0.118161925601751</c:v>
                </c:pt>
                <c:pt idx="1">
                  <c:v>0.43</c:v>
                </c:pt>
                <c:pt idx="2">
                  <c:v>0.625</c:v>
                </c:pt>
              </c:numCache>
            </c:numRef>
          </c:val>
        </c:ser>
        <c:ser>
          <c:idx val="1"/>
          <c:order val="1"/>
          <c:tx>
            <c:strRef>
              <c:f>cnn!$A$20:$B$20</c:f>
              <c:strCache>
                <c:ptCount val="1"/>
                <c:pt idx="0">
                  <c:v>L2/3 PV</c:v>
                </c:pt>
              </c:strCache>
            </c:strRef>
          </c:tx>
          <c:spPr>
            <a:solidFill>
              <a:srgbClr val="D3374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cnn!$C$20:$F$20</c:f>
              <c:numCache>
                <c:formatCode>0.00%</c:formatCode>
                <c:ptCount val="4"/>
                <c:pt idx="0">
                  <c:v>0.51</c:v>
                </c:pt>
                <c:pt idx="1">
                  <c:v>0.467966573816156</c:v>
                </c:pt>
                <c:pt idx="2">
                  <c:v>0.290322580645161</c:v>
                </c:pt>
              </c:numCache>
            </c:numRef>
          </c:val>
        </c:ser>
        <c:ser>
          <c:idx val="2"/>
          <c:order val="2"/>
          <c:tx>
            <c:strRef>
              <c:f>cnn!$A$21:$B$21</c:f>
              <c:strCache>
                <c:ptCount val="1"/>
                <c:pt idx="0">
                  <c:v>L2/3 SOM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cnn!$C$21:$F$21</c:f>
              <c:numCache>
                <c:formatCode>0.00%</c:formatCode>
                <c:ptCount val="4"/>
                <c:pt idx="0">
                  <c:v>0.31</c:v>
                </c:pt>
                <c:pt idx="1">
                  <c:v>0.571428571428571</c:v>
                </c:pt>
                <c:pt idx="2">
                  <c:v>0.0357142857142857</c:v>
                </c:pt>
                <c:pt idx="3">
                  <c:v>0.354838709677419</c:v>
                </c:pt>
              </c:numCache>
            </c:numRef>
          </c:val>
        </c:ser>
        <c:ser>
          <c:idx val="3"/>
          <c:order val="3"/>
          <c:tx>
            <c:strRef>
              <c:f>cnn!$A$22:$B$22</c:f>
              <c:strCache>
                <c:ptCount val="1"/>
                <c:pt idx="0">
                  <c:v>L2/3 VIP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cnn!$C$17:$F$18</c:f>
              <c:multiLvlStrCache>
                <c:ptCount val="4"/>
                <c:lvl>
                  <c:pt idx="0">
                    <c:v>E</c:v>
                  </c:pt>
                  <c:pt idx="1">
                    <c:v>PV</c:v>
                  </c:pt>
                  <c:pt idx="2">
                    <c:v>SOM</c:v>
                  </c:pt>
                  <c:pt idx="3">
                    <c:v>VIP</c:v>
                  </c:pt>
                </c:lvl>
                <c:lvl>
                  <c:pt idx="0">
                    <c:v>L2/3</c:v>
                  </c:pt>
                </c:lvl>
              </c:multiLvlStrCache>
            </c:multiLvlStrRef>
          </c:cat>
          <c:val>
            <c:numRef>
              <c:f>cnn!$C$22:$F$22</c:f>
              <c:numCache>
                <c:formatCode>0.00%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310067"/>
        <c:axId val="30190921"/>
      </c:barChart>
      <c:catAx>
        <c:axId val="1453100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30190921"/>
        <c:crosses val="autoZero"/>
        <c:auto val="1"/>
        <c:lblAlgn val="ctr"/>
        <c:lblOffset val="100"/>
        <c:noMultiLvlLbl val="0"/>
      </c:catAx>
      <c:valAx>
        <c:axId val="301909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  <c:crossAx val="1453100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en-US"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>
          <a:solidFill>
            <a:sysClr val="windowText" lastClr="000000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rgbClr val="FF5151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'fr+epsp'!$A$3:$A$15</c:f>
              <c:strCache>
                <c:ptCount val="13"/>
                <c:pt idx="0">
                  <c:v>L23 E</c:v>
                </c:pt>
                <c:pt idx="1">
                  <c:v>L23 FS</c:v>
                </c:pt>
                <c:pt idx="2">
                  <c:v>L23 SOM</c:v>
                </c:pt>
                <c:pt idx="3">
                  <c:v>VIP</c:v>
                </c:pt>
                <c:pt idx="4">
                  <c:v>L4 E</c:v>
                </c:pt>
                <c:pt idx="5">
                  <c:v>L4 FS</c:v>
                </c:pt>
                <c:pt idx="6">
                  <c:v>L4 SOM</c:v>
                </c:pt>
                <c:pt idx="7">
                  <c:v>L5a E</c:v>
                </c:pt>
                <c:pt idx="8">
                  <c:v>L5a FS</c:v>
                </c:pt>
                <c:pt idx="9">
                  <c:v>L5a SOM</c:v>
                </c:pt>
                <c:pt idx="10">
                  <c:v>L5b/6 E</c:v>
                </c:pt>
                <c:pt idx="11">
                  <c:v>L5b/6 FS</c:v>
                </c:pt>
                <c:pt idx="12">
                  <c:v>L5b/6 SOM</c:v>
                </c:pt>
              </c:strCache>
            </c:strRef>
          </c:cat>
          <c:val>
            <c:numRef>
              <c:f>'fr+epsp'!$B$3:$B$15</c:f>
              <c:numCache>
                <c:formatCode>General</c:formatCode>
                <c:ptCount val="13"/>
                <c:pt idx="0">
                  <c:v>2.7</c:v>
                </c:pt>
                <c:pt idx="1">
                  <c:v>13.8</c:v>
                </c:pt>
                <c:pt idx="2">
                  <c:v>2.6</c:v>
                </c:pt>
                <c:pt idx="3">
                  <c:v>14.6</c:v>
                </c:pt>
                <c:pt idx="4">
                  <c:v>0.5</c:v>
                </c:pt>
                <c:pt idx="5">
                  <c:v>10.2</c:v>
                </c:pt>
                <c:pt idx="6">
                  <c:v>2.6</c:v>
                </c:pt>
                <c:pt idx="7">
                  <c:v>6.8</c:v>
                </c:pt>
                <c:pt idx="8">
                  <c:v>7.5</c:v>
                </c:pt>
                <c:pt idx="9">
                  <c:v>2.8</c:v>
                </c:pt>
                <c:pt idx="10">
                  <c:v>6.1</c:v>
                </c:pt>
                <c:pt idx="11">
                  <c:v>16.9</c:v>
                </c:pt>
                <c:pt idx="12">
                  <c:v>3.9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0"/>
        <c:axId val="583072506"/>
        <c:axId val="272691787"/>
      </c:barChart>
      <c:catAx>
        <c:axId val="583072506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272691787"/>
        <c:crosses val="autoZero"/>
        <c:auto val="1"/>
        <c:lblAlgn val="ctr"/>
        <c:lblOffset val="100"/>
        <c:noMultiLvlLbl val="0"/>
      </c:catAx>
      <c:valAx>
        <c:axId val="27269178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en-US">
                    <a:solidFill>
                      <a:srgbClr val="000000"/>
                    </a:solidFill>
                  </a:rPr>
                  <a:t>spikes/s</a:t>
                </a:r>
                <a:endParaRPr lang="en-US" altLang="en-US">
                  <a:solidFill>
                    <a:srgbClr val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0"/>
          <a:lstStyle/>
          <a:p>
            <a:pPr>
              <a:defRPr lang="en-US" sz="9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</a:p>
        </c:txPr>
        <c:crossAx val="58307250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196850</xdr:colOff>
      <xdr:row>53</xdr:row>
      <xdr:rowOff>40640</xdr:rowOff>
    </xdr:from>
    <xdr:to>
      <xdr:col>8</xdr:col>
      <xdr:colOff>71880</xdr:colOff>
      <xdr:row>67</xdr:row>
      <xdr:rowOff>157100</xdr:rowOff>
    </xdr:to>
    <xdr:graphicFrame>
      <xdr:nvGraphicFramePr>
        <xdr:cNvPr id="2" name="圖表 1"/>
        <xdr:cNvGraphicFramePr/>
      </xdr:nvGraphicFramePr>
      <xdr:xfrm>
        <a:off x="196850" y="9127490"/>
        <a:ext cx="4982845" cy="2516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178435</xdr:colOff>
      <xdr:row>68</xdr:row>
      <xdr:rowOff>99060</xdr:rowOff>
    </xdr:from>
    <xdr:to>
      <xdr:col>8</xdr:col>
      <xdr:colOff>53340</xdr:colOff>
      <xdr:row>83</xdr:row>
      <xdr:rowOff>55245</xdr:rowOff>
    </xdr:to>
    <xdr:graphicFrame>
      <xdr:nvGraphicFramePr>
        <xdr:cNvPr id="3" name="圖表 1"/>
        <xdr:cNvGraphicFramePr/>
      </xdr:nvGraphicFramePr>
      <xdr:xfrm>
        <a:off x="178435" y="11757660"/>
        <a:ext cx="4982845" cy="25279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2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3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4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5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6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7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8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9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0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323395</xdr:colOff>
      <xdr:row>11</xdr:row>
      <xdr:rowOff>47492</xdr:rowOff>
    </xdr:to>
    <xdr:sp>
      <xdr:nvSpPr>
        <xdr:cNvPr id="11" name="CustomShape 1" hidden="1"/>
        <xdr:cNvSpPr/>
      </xdr:nvSpPr>
      <xdr:spPr>
        <a:xfrm>
          <a:off x="0" y="175895"/>
          <a:ext cx="6939280" cy="63957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2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3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4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5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6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7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8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19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8</xdr:col>
      <xdr:colOff>323755</xdr:colOff>
      <xdr:row>17</xdr:row>
      <xdr:rowOff>35843</xdr:rowOff>
    </xdr:to>
    <xdr:sp>
      <xdr:nvSpPr>
        <xdr:cNvPr id="20" name="CustomShape 1" hidden="1"/>
        <xdr:cNvSpPr/>
      </xdr:nvSpPr>
      <xdr:spPr>
        <a:xfrm>
          <a:off x="0" y="175895"/>
          <a:ext cx="6939280" cy="9073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2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3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4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5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6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7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8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49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0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1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2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217915</xdr:colOff>
      <xdr:row>11</xdr:row>
      <xdr:rowOff>43892</xdr:rowOff>
    </xdr:to>
    <xdr:sp>
      <xdr:nvSpPr>
        <xdr:cNvPr id="53" name="CustomShape 1" hidden="1"/>
        <xdr:cNvSpPr/>
      </xdr:nvSpPr>
      <xdr:spPr>
        <a:xfrm>
          <a:off x="0" y="175895"/>
          <a:ext cx="7483475" cy="63925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5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6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7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8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9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0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1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8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29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0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1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2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3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4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5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6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1</xdr:row>
      <xdr:rowOff>4680</xdr:rowOff>
    </xdr:from>
    <xdr:to>
      <xdr:col>9</xdr:col>
      <xdr:colOff>113155</xdr:colOff>
      <xdr:row>8</xdr:row>
      <xdr:rowOff>286624</xdr:rowOff>
    </xdr:to>
    <xdr:sp>
      <xdr:nvSpPr>
        <xdr:cNvPr id="137" name="CustomShape 1" hidden="1"/>
        <xdr:cNvSpPr/>
      </xdr:nvSpPr>
      <xdr:spPr>
        <a:xfrm>
          <a:off x="0" y="175895"/>
          <a:ext cx="7378700" cy="47491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3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4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5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6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7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6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7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8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89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0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1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2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3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4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317635</xdr:colOff>
      <xdr:row>10</xdr:row>
      <xdr:rowOff>183080</xdr:rowOff>
    </xdr:to>
    <xdr:sp>
      <xdr:nvSpPr>
        <xdr:cNvPr id="195" name="CustomShape 1" hidden="1"/>
        <xdr:cNvSpPr/>
      </xdr:nvSpPr>
      <xdr:spPr>
        <a:xfrm>
          <a:off x="0" y="0"/>
          <a:ext cx="6933565" cy="63646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19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0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1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2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3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4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5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6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7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8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49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0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1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2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319075</xdr:colOff>
      <xdr:row>10</xdr:row>
      <xdr:rowOff>184520</xdr:rowOff>
    </xdr:to>
    <xdr:sp>
      <xdr:nvSpPr>
        <xdr:cNvPr id="253" name="CustomShape 1" hidden="1"/>
        <xdr:cNvSpPr/>
      </xdr:nvSpPr>
      <xdr:spPr>
        <a:xfrm>
          <a:off x="0" y="0"/>
          <a:ext cx="6934835" cy="63658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5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6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7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8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29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2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3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4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5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6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7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8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09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0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395755</xdr:colOff>
      <xdr:row>17</xdr:row>
      <xdr:rowOff>78398</xdr:rowOff>
    </xdr:to>
    <xdr:sp>
      <xdr:nvSpPr>
        <xdr:cNvPr id="311" name="CustomShape 1" hidden="1"/>
        <xdr:cNvSpPr/>
      </xdr:nvSpPr>
      <xdr:spPr>
        <a:xfrm>
          <a:off x="0" y="0"/>
          <a:ext cx="7011670" cy="929195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1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2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3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4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6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7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8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59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0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1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2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3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4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319795</xdr:colOff>
      <xdr:row>10</xdr:row>
      <xdr:rowOff>216499</xdr:rowOff>
    </xdr:to>
    <xdr:sp>
      <xdr:nvSpPr>
        <xdr:cNvPr id="365" name="CustomShape 1" hidden="1"/>
        <xdr:cNvSpPr/>
      </xdr:nvSpPr>
      <xdr:spPr>
        <a:xfrm>
          <a:off x="0" y="0"/>
          <a:ext cx="6935470" cy="639762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6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7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8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39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2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3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4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5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6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7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8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09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0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320515</xdr:colOff>
      <xdr:row>10</xdr:row>
      <xdr:rowOff>216859</xdr:rowOff>
    </xdr:to>
    <xdr:sp>
      <xdr:nvSpPr>
        <xdr:cNvPr id="411" name="CustomShape 1" hidden="1"/>
        <xdr:cNvSpPr/>
      </xdr:nvSpPr>
      <xdr:spPr>
        <a:xfrm>
          <a:off x="0" y="0"/>
          <a:ext cx="6936105" cy="63982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1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2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3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2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3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4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5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6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7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8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49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0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219739</xdr:rowOff>
    </xdr:to>
    <xdr:sp>
      <xdr:nvSpPr>
        <xdr:cNvPr id="451" name="CustomShape 1" hidden="1"/>
        <xdr:cNvSpPr/>
      </xdr:nvSpPr>
      <xdr:spPr>
        <a:xfrm>
          <a:off x="0" y="0"/>
          <a:ext cx="6936740" cy="64014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5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6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7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8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220459</xdr:rowOff>
    </xdr:to>
    <xdr:sp>
      <xdr:nvSpPr>
        <xdr:cNvPr id="49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49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0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1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2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3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4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5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6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7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8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29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0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321235</xdr:colOff>
      <xdr:row>10</xdr:row>
      <xdr:rowOff>220819</xdr:rowOff>
    </xdr:to>
    <xdr:sp>
      <xdr:nvSpPr>
        <xdr:cNvPr id="531" name="CustomShape 1" hidden="1"/>
        <xdr:cNvSpPr/>
      </xdr:nvSpPr>
      <xdr:spPr>
        <a:xfrm>
          <a:off x="0" y="0"/>
          <a:ext cx="6936740" cy="64020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3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4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5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2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3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4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5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6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7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8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69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0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321955</xdr:colOff>
      <xdr:row>10</xdr:row>
      <xdr:rowOff>221539</xdr:rowOff>
    </xdr:to>
    <xdr:sp>
      <xdr:nvSpPr>
        <xdr:cNvPr id="571" name="CustomShape 1" hidden="1"/>
        <xdr:cNvSpPr/>
      </xdr:nvSpPr>
      <xdr:spPr>
        <a:xfrm>
          <a:off x="0" y="0"/>
          <a:ext cx="6938010" cy="640270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7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8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59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2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3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4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5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6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7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8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09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0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322675</xdr:colOff>
      <xdr:row>10</xdr:row>
      <xdr:rowOff>222619</xdr:rowOff>
    </xdr:to>
    <xdr:sp>
      <xdr:nvSpPr>
        <xdr:cNvPr id="611" name="CustomShape 1" hidden="1"/>
        <xdr:cNvSpPr/>
      </xdr:nvSpPr>
      <xdr:spPr>
        <a:xfrm>
          <a:off x="0" y="0"/>
          <a:ext cx="6938645" cy="640397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1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2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3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2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3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4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5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6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7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8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49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0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324115</xdr:colOff>
      <xdr:row>10</xdr:row>
      <xdr:rowOff>224059</xdr:rowOff>
    </xdr:to>
    <xdr:sp>
      <xdr:nvSpPr>
        <xdr:cNvPr id="651" name="CustomShape 1" hidden="1"/>
        <xdr:cNvSpPr/>
      </xdr:nvSpPr>
      <xdr:spPr>
        <a:xfrm>
          <a:off x="0" y="0"/>
          <a:ext cx="6939915" cy="640524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5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6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7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2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3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4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5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6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7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8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89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0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224779</xdr:rowOff>
    </xdr:to>
    <xdr:sp>
      <xdr:nvSpPr>
        <xdr:cNvPr id="691" name="CustomShape 1" hidden="1"/>
        <xdr:cNvSpPr/>
      </xdr:nvSpPr>
      <xdr:spPr>
        <a:xfrm>
          <a:off x="0" y="0"/>
          <a:ext cx="6940550" cy="64058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69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0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1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2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3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4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5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6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7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8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29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0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324835</xdr:colOff>
      <xdr:row>10</xdr:row>
      <xdr:rowOff>225139</xdr:rowOff>
    </xdr:to>
    <xdr:sp>
      <xdr:nvSpPr>
        <xdr:cNvPr id="731" name="CustomShape 1" hidden="1"/>
        <xdr:cNvSpPr/>
      </xdr:nvSpPr>
      <xdr:spPr>
        <a:xfrm>
          <a:off x="0" y="0"/>
          <a:ext cx="6940550" cy="64065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3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4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5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2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3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4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5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6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7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8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69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0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325555</xdr:colOff>
      <xdr:row>10</xdr:row>
      <xdr:rowOff>225499</xdr:rowOff>
    </xdr:to>
    <xdr:sp>
      <xdr:nvSpPr>
        <xdr:cNvPr id="771" name="CustomShape 1" hidden="1"/>
        <xdr:cNvSpPr/>
      </xdr:nvSpPr>
      <xdr:spPr>
        <a:xfrm>
          <a:off x="0" y="0"/>
          <a:ext cx="6941185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7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8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79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2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3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4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5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6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7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8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09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0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325915</xdr:colOff>
      <xdr:row>10</xdr:row>
      <xdr:rowOff>225859</xdr:rowOff>
    </xdr:to>
    <xdr:sp>
      <xdr:nvSpPr>
        <xdr:cNvPr id="811" name="CustomShape 1" hidden="1"/>
        <xdr:cNvSpPr/>
      </xdr:nvSpPr>
      <xdr:spPr>
        <a:xfrm>
          <a:off x="0" y="0"/>
          <a:ext cx="6941820" cy="640715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1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2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3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2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3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4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5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6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7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8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49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0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326275</xdr:colOff>
      <xdr:row>10</xdr:row>
      <xdr:rowOff>226219</xdr:rowOff>
    </xdr:to>
    <xdr:sp>
      <xdr:nvSpPr>
        <xdr:cNvPr id="851" name="CustomShape 1" hidden="1"/>
        <xdr:cNvSpPr/>
      </xdr:nvSpPr>
      <xdr:spPr>
        <a:xfrm>
          <a:off x="0" y="0"/>
          <a:ext cx="6941820" cy="640778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5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6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7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2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3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4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5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6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7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8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89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0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326635</xdr:colOff>
      <xdr:row>10</xdr:row>
      <xdr:rowOff>226579</xdr:rowOff>
    </xdr:to>
    <xdr:sp>
      <xdr:nvSpPr>
        <xdr:cNvPr id="891" name="CustomShape 1" hidden="1"/>
        <xdr:cNvSpPr/>
      </xdr:nvSpPr>
      <xdr:spPr>
        <a:xfrm>
          <a:off x="0" y="0"/>
          <a:ext cx="6942455" cy="6407785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15</xdr:col>
      <xdr:colOff>469265</xdr:colOff>
      <xdr:row>34</xdr:row>
      <xdr:rowOff>34290</xdr:rowOff>
    </xdr:from>
    <xdr:to>
      <xdr:col>24</xdr:col>
      <xdr:colOff>260350</xdr:colOff>
      <xdr:row>51</xdr:row>
      <xdr:rowOff>53975</xdr:rowOff>
    </xdr:to>
    <xdr:graphicFrame>
      <xdr:nvGraphicFramePr>
        <xdr:cNvPr id="892" name="Chart 891"/>
        <xdr:cNvGraphicFramePr/>
      </xdr:nvGraphicFramePr>
      <xdr:xfrm>
        <a:off x="11897995" y="12743815"/>
        <a:ext cx="11756390" cy="30105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42545</xdr:colOff>
      <xdr:row>16</xdr:row>
      <xdr:rowOff>62865</xdr:rowOff>
    </xdr:from>
    <xdr:to>
      <xdr:col>17</xdr:col>
      <xdr:colOff>2755900</xdr:colOff>
      <xdr:row>30</xdr:row>
      <xdr:rowOff>140970</xdr:rowOff>
    </xdr:to>
    <xdr:graphicFrame>
      <xdr:nvGraphicFramePr>
        <xdr:cNvPr id="893" name="Chart 892"/>
        <xdr:cNvGraphicFramePr/>
      </xdr:nvGraphicFramePr>
      <xdr:xfrm>
        <a:off x="12065000" y="9105265"/>
        <a:ext cx="4606290" cy="2535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1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2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3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4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5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6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7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218585</xdr:colOff>
      <xdr:row>37</xdr:row>
      <xdr:rowOff>11820</xdr:rowOff>
    </xdr:to>
    <xdr:sp>
      <xdr:nvSpPr>
        <xdr:cNvPr id="898" name="CustomShape 1" hidden="1"/>
        <xdr:cNvSpPr/>
      </xdr:nvSpPr>
      <xdr:spPr>
        <a:xfrm>
          <a:off x="0" y="0"/>
          <a:ext cx="7102475" cy="6793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899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0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1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2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3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4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5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219665</xdr:colOff>
      <xdr:row>40</xdr:row>
      <xdr:rowOff>30780</xdr:rowOff>
    </xdr:to>
    <xdr:sp>
      <xdr:nvSpPr>
        <xdr:cNvPr id="906" name="CustomShape 1" hidden="1"/>
        <xdr:cNvSpPr/>
      </xdr:nvSpPr>
      <xdr:spPr>
        <a:xfrm>
          <a:off x="0" y="0"/>
          <a:ext cx="7103110" cy="734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8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09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0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1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2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3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4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5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6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220025</xdr:colOff>
      <xdr:row>40</xdr:row>
      <xdr:rowOff>31140</xdr:rowOff>
    </xdr:to>
    <xdr:sp>
      <xdr:nvSpPr>
        <xdr:cNvPr id="917" name="CustomShape 1" hidden="1"/>
        <xdr:cNvSpPr/>
      </xdr:nvSpPr>
      <xdr:spPr>
        <a:xfrm>
          <a:off x="0" y="0"/>
          <a:ext cx="7103745" cy="734631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1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1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2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3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4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5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6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7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8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29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217775</xdr:colOff>
      <xdr:row>33</xdr:row>
      <xdr:rowOff>101190</xdr:rowOff>
    </xdr:to>
    <xdr:sp>
      <xdr:nvSpPr>
        <xdr:cNvPr id="930" name="CustomShape 1" hidden="1"/>
        <xdr:cNvSpPr/>
      </xdr:nvSpPr>
      <xdr:spPr>
        <a:xfrm>
          <a:off x="0" y="0"/>
          <a:ext cx="8354695" cy="617156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4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5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6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7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8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39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0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1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2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214985</xdr:colOff>
      <xdr:row>33</xdr:row>
      <xdr:rowOff>101910</xdr:rowOff>
    </xdr:to>
    <xdr:sp>
      <xdr:nvSpPr>
        <xdr:cNvPr id="943" name="CustomShape 1" hidden="1"/>
        <xdr:cNvSpPr/>
      </xdr:nvSpPr>
      <xdr:spPr>
        <a:xfrm>
          <a:off x="0" y="0"/>
          <a:ext cx="7098665" cy="61722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7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8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49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0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1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2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3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4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5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626465</xdr:colOff>
      <xdr:row>33</xdr:row>
      <xdr:rowOff>109830</xdr:rowOff>
    </xdr:to>
    <xdr:sp>
      <xdr:nvSpPr>
        <xdr:cNvPr id="956" name="CustomShape 1" hidden="1"/>
        <xdr:cNvSpPr/>
      </xdr:nvSpPr>
      <xdr:spPr>
        <a:xfrm>
          <a:off x="0" y="0"/>
          <a:ext cx="7510145" cy="61798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5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0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1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2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3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4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5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6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7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8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71435</xdr:colOff>
      <xdr:row>32</xdr:row>
      <xdr:rowOff>24350</xdr:rowOff>
    </xdr:to>
    <xdr:sp>
      <xdr:nvSpPr>
        <xdr:cNvPr id="969" name="CustomShape 1" hidden="1"/>
        <xdr:cNvSpPr/>
      </xdr:nvSpPr>
      <xdr:spPr>
        <a:xfrm>
          <a:off x="0" y="0"/>
          <a:ext cx="6955155" cy="57518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3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4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5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6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7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8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79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0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1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240905</xdr:colOff>
      <xdr:row>32</xdr:row>
      <xdr:rowOff>25430</xdr:rowOff>
    </xdr:to>
    <xdr:sp>
      <xdr:nvSpPr>
        <xdr:cNvPr id="982" name="CustomShape 1" hidden="1"/>
        <xdr:cNvSpPr/>
      </xdr:nvSpPr>
      <xdr:spPr>
        <a:xfrm>
          <a:off x="0" y="0"/>
          <a:ext cx="7124700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6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7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8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89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0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1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2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3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4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77555</xdr:colOff>
      <xdr:row>32</xdr:row>
      <xdr:rowOff>25790</xdr:rowOff>
    </xdr:to>
    <xdr:sp>
      <xdr:nvSpPr>
        <xdr:cNvPr id="995" name="CustomShape 1" hidden="1"/>
        <xdr:cNvSpPr/>
      </xdr:nvSpPr>
      <xdr:spPr>
        <a:xfrm>
          <a:off x="0" y="0"/>
          <a:ext cx="6961505" cy="57531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999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0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1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2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3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4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5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6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7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78275</xdr:colOff>
      <xdr:row>32</xdr:row>
      <xdr:rowOff>26510</xdr:rowOff>
    </xdr:to>
    <xdr:sp>
      <xdr:nvSpPr>
        <xdr:cNvPr id="1008" name="CustomShape 1" hidden="1"/>
        <xdr:cNvSpPr/>
      </xdr:nvSpPr>
      <xdr:spPr>
        <a:xfrm>
          <a:off x="0" y="0"/>
          <a:ext cx="6962140" cy="575373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0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2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3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4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5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6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7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8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19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0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78635</xdr:colOff>
      <xdr:row>32</xdr:row>
      <xdr:rowOff>26870</xdr:rowOff>
    </xdr:to>
    <xdr:sp>
      <xdr:nvSpPr>
        <xdr:cNvPr id="1021" name="CustomShape 1" hidden="1"/>
        <xdr:cNvSpPr/>
      </xdr:nvSpPr>
      <xdr:spPr>
        <a:xfrm>
          <a:off x="0" y="0"/>
          <a:ext cx="6962140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5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6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7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8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29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0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1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2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3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78995</xdr:colOff>
      <xdr:row>32</xdr:row>
      <xdr:rowOff>27230</xdr:rowOff>
    </xdr:to>
    <xdr:sp>
      <xdr:nvSpPr>
        <xdr:cNvPr id="1034" name="CustomShape 1" hidden="1"/>
        <xdr:cNvSpPr/>
      </xdr:nvSpPr>
      <xdr:spPr>
        <a:xfrm>
          <a:off x="0" y="0"/>
          <a:ext cx="6962775" cy="575437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8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39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0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1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2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3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4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5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6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79355</xdr:colOff>
      <xdr:row>32</xdr:row>
      <xdr:rowOff>186810</xdr:rowOff>
    </xdr:to>
    <xdr:sp>
      <xdr:nvSpPr>
        <xdr:cNvPr id="1047" name="CustomShape 1" hidden="1"/>
        <xdr:cNvSpPr/>
      </xdr:nvSpPr>
      <xdr:spPr>
        <a:xfrm>
          <a:off x="0" y="0"/>
          <a:ext cx="6962775" cy="591439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>
    <xdr:from>
      <xdr:col>9</xdr:col>
      <xdr:colOff>76835</xdr:colOff>
      <xdr:row>16</xdr:row>
      <xdr:rowOff>134620</xdr:rowOff>
    </xdr:from>
    <xdr:to>
      <xdr:col>13</xdr:col>
      <xdr:colOff>273050</xdr:colOff>
      <xdr:row>32</xdr:row>
      <xdr:rowOff>106680</xdr:rowOff>
    </xdr:to>
    <xdr:graphicFrame>
      <xdr:nvGraphicFramePr>
        <xdr:cNvPr id="3" name="Chart 2"/>
        <xdr:cNvGraphicFramePr/>
      </xdr:nvGraphicFramePr>
      <xdr:xfrm>
        <a:off x="6334125" y="2979420"/>
        <a:ext cx="2703195" cy="285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127635</xdr:colOff>
      <xdr:row>0</xdr:row>
      <xdr:rowOff>40640</xdr:rowOff>
    </xdr:from>
    <xdr:to>
      <xdr:col>12</xdr:col>
      <xdr:colOff>554990</xdr:colOff>
      <xdr:row>16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732270" y="40640"/>
          <a:ext cx="3532505" cy="33648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71755</xdr:colOff>
      <xdr:row>17</xdr:row>
      <xdr:rowOff>159385</xdr:rowOff>
    </xdr:from>
    <xdr:to>
      <xdr:col>24</xdr:col>
      <xdr:colOff>521335</xdr:colOff>
      <xdr:row>31</xdr:row>
      <xdr:rowOff>102870</xdr:rowOff>
    </xdr:to>
    <xdr:pic>
      <xdr:nvPicPr>
        <xdr:cNvPr id="4" name="Picture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76390" y="3721735"/>
          <a:ext cx="11007090" cy="29978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6</xdr:col>
      <xdr:colOff>597535</xdr:colOff>
      <xdr:row>37</xdr:row>
      <xdr:rowOff>20320</xdr:rowOff>
    </xdr:from>
    <xdr:to>
      <xdr:col>18</xdr:col>
      <xdr:colOff>128270</xdr:colOff>
      <xdr:row>57</xdr:row>
      <xdr:rowOff>68580</xdr:rowOff>
    </xdr:to>
    <xdr:pic>
      <xdr:nvPicPr>
        <xdr:cNvPr id="5" name="Picture 4" descr="Screenshot from 2020-03-17 09-03-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81140" y="7894320"/>
          <a:ext cx="6983095" cy="42392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5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6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7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8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9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0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1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2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3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132715</xdr:colOff>
      <xdr:row>15</xdr:row>
      <xdr:rowOff>88265</xdr:rowOff>
    </xdr:to>
    <xdr:sp>
      <xdr:nvSpPr>
        <xdr:cNvPr id="14" name="CustomShape 1" hidden="1"/>
        <xdr:cNvSpPr/>
      </xdr:nvSpPr>
      <xdr:spPr>
        <a:xfrm>
          <a:off x="0" y="0"/>
          <a:ext cx="6964045" cy="564769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8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19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0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1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2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3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4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5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6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290830</xdr:colOff>
      <xdr:row>15</xdr:row>
      <xdr:rowOff>89535</xdr:rowOff>
    </xdr:to>
    <xdr:sp>
      <xdr:nvSpPr>
        <xdr:cNvPr id="27" name="CustomShape 1" hidden="1"/>
        <xdr:cNvSpPr/>
      </xdr:nvSpPr>
      <xdr:spPr>
        <a:xfrm>
          <a:off x="0" y="0"/>
          <a:ext cx="7122160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2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1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2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3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4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5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6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7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8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39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139065</xdr:colOff>
      <xdr:row>15</xdr:row>
      <xdr:rowOff>89535</xdr:rowOff>
    </xdr:to>
    <xdr:sp>
      <xdr:nvSpPr>
        <xdr:cNvPr id="40" name="CustomShape 1" hidden="1"/>
        <xdr:cNvSpPr/>
      </xdr:nvSpPr>
      <xdr:spPr>
        <a:xfrm>
          <a:off x="0" y="0"/>
          <a:ext cx="6970395" cy="56489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4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5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6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7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8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49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0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1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2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90170</xdr:rowOff>
    </xdr:to>
    <xdr:sp>
      <xdr:nvSpPr>
        <xdr:cNvPr id="53" name="CustomShape 1" hidden="1"/>
        <xdr:cNvSpPr/>
      </xdr:nvSpPr>
      <xdr:spPr>
        <a:xfrm>
          <a:off x="0" y="0"/>
          <a:ext cx="6971030" cy="5649595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7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8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59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0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1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2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3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4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5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139700</xdr:colOff>
      <xdr:row>15</xdr:row>
      <xdr:rowOff>90805</xdr:rowOff>
    </xdr:to>
    <xdr:sp>
      <xdr:nvSpPr>
        <xdr:cNvPr id="66" name="CustomShape 1" hidden="1"/>
        <xdr:cNvSpPr/>
      </xdr:nvSpPr>
      <xdr:spPr>
        <a:xfrm>
          <a:off x="0" y="0"/>
          <a:ext cx="6971030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6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0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1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2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3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4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5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6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7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8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15</xdr:row>
      <xdr:rowOff>90805</xdr:rowOff>
    </xdr:to>
    <xdr:sp>
      <xdr:nvSpPr>
        <xdr:cNvPr id="79" name="CustomShape 1" hidden="1"/>
        <xdr:cNvSpPr/>
      </xdr:nvSpPr>
      <xdr:spPr>
        <a:xfrm>
          <a:off x="0" y="0"/>
          <a:ext cx="6971665" cy="565023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3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4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5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6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7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8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89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0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1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140335</xdr:colOff>
      <xdr:row>16</xdr:row>
      <xdr:rowOff>76200</xdr:rowOff>
    </xdr:to>
    <xdr:sp>
      <xdr:nvSpPr>
        <xdr:cNvPr id="92" name="CustomShape 1" hidden="1"/>
        <xdr:cNvSpPr/>
      </xdr:nvSpPr>
      <xdr:spPr>
        <a:xfrm>
          <a:off x="0" y="0"/>
          <a:ext cx="6971665" cy="58293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connectivity/layer-specific/The excitatory neuronal network of the C2 barrel column in mouse primary somatosensory cortex..pdf" TargetMode="External"/><Relationship Id="rId4" Type="http://schemas.openxmlformats.org/officeDocument/2006/relationships/hyperlink" Target="population/Lee, Rudy_2010_The Largest Group of Superficial Neocortical GABAergic Interneurons Expresses Ionotropic Serotonin Receptors.pdf" TargetMode="External"/><Relationship Id="rId3" Type="http://schemas.openxmlformats.org/officeDocument/2006/relationships/hyperlink" Target="population/Meyer_2011_Inhibitory interneurons in a cortical column form hot zones of inhibition in layers 2 and 5A.pdf" TargetMode="External"/><Relationship Id="rId2" Type="http://schemas.openxmlformats.org/officeDocument/2006/relationships/hyperlink" Target="population/Xu_2010_Immunochemical Characterization of Inhibitory MouseCortical Neurons Three Chemically Distinct Classes ofInhibitory Cells.pdf" TargetMode="Externa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7" Type="http://schemas.openxmlformats.org/officeDocument/2006/relationships/hyperlink" Target="https://onlinelibrary.wiley.com/doi/abs/10.1046/j.1460-9568.2002.02048.x" TargetMode="External"/><Relationship Id="rId6" Type="http://schemas.openxmlformats.org/officeDocument/2006/relationships/hyperlink" Target="https://onlinelibrary.wiley.com/doi/abs/10.1111/j.1460-9568.1997.tb01644.x" TargetMode="External"/><Relationship Id="rId5" Type="http://schemas.openxmlformats.org/officeDocument/2006/relationships/hyperlink" Target="https://onlinelibrary.wiley.com/doi/abs/10.1002/(SICI)1096-9861(19960401)367:2%3C194::AID-CNE3%3E3.0.CO;2-0" TargetMode="External"/><Relationship Id="rId4" Type="http://schemas.openxmlformats.org/officeDocument/2006/relationships/hyperlink" Target="https://www.frontiersin.org/articles/10.3389/fnana.2016.00124/full" TargetMode="Externa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ncbi.nlm.nih.gov/pmc/articles/PMC2290091/pdf/tjp0538-0803.pdf" TargetMode="External"/><Relationship Id="rId1" Type="http://schemas.openxmlformats.org/officeDocument/2006/relationships/hyperlink" Target="http://citeseerx.ist.psu.edu/viewdoc/download?doi=10.1.1.188.9609&amp;rep=rep1&amp;type=pdf" TargetMode="External"/></Relationships>
</file>

<file path=xl/worksheets/_rels/sheet6.xml.rels><?xml version="1.0" encoding="UTF-8" standalone="yes"?>
<Relationships xmlns="http://schemas.openxmlformats.org/package/2006/relationships"><Relationship Id="rId5" Type="http://schemas.openxmlformats.org/officeDocument/2006/relationships/hyperlink" Target="http://www.sciencemag.org/cgi/pmidlookup?view=long&amp;pmid=23812718" TargetMode="External"/><Relationship Id="rId4" Type="http://schemas.openxmlformats.org/officeDocument/2006/relationships/hyperlink" Target="https://elifesciences.org/articles/52665" TargetMode="External"/><Relationship Id="rId3" Type="http://schemas.openxmlformats.org/officeDocument/2006/relationships/hyperlink" Target="https://academic.oup.com/cercor/article/22/10/2375/289513" TargetMode="External"/><Relationship Id="rId2" Type="http://schemas.openxmlformats.org/officeDocument/2006/relationships/hyperlink" Target="https://www.jneurosci.org/content/22/24/10966.short" TargetMode="Externa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4" Type="http://schemas.openxmlformats.org/officeDocument/2006/relationships/hyperlink" Target="https://www.researchgate.net/profile/Yves_Bernaerts/publication/329968077_Neocortical_layer_4_in_adult_mouse_differs_in_major_cell_types_and_circuit_organization_between_primary_sensory_areas/links/5c2ca584a6fdccfc7077fded/Neocortical-layer-4-in-adult-mou" TargetMode="External"/><Relationship Id="rId3" Type="http://schemas.openxmlformats.org/officeDocument/2006/relationships/hyperlink" Target="https://www.pnas.org/content/99/19/12438/" TargetMode="External"/><Relationship Id="rId2" Type="http://schemas.openxmlformats.org/officeDocument/2006/relationships/hyperlink" Target="https://www.nature.com/articles/nn0900_904" TargetMode="External"/><Relationship Id="rId1" Type="http://schemas.openxmlformats.org/officeDocument/2006/relationships/hyperlink" Target="https://www.nature.com/articles/47035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jneurosci.org/content/32/3/983.short" TargetMode="External"/></Relationships>
</file>

<file path=xl/worksheets/_rels/sheet9.xml.rels><?xml version="1.0" encoding="UTF-8" standalone="yes"?>
<Relationships xmlns="http://schemas.openxmlformats.org/package/2006/relationships"><Relationship Id="rId6" Type="http://schemas.openxmlformats.org/officeDocument/2006/relationships/hyperlink" Target="https://doi.org/10.1093/cercor/bhx094" TargetMode="External"/><Relationship Id="rId5" Type="http://schemas.openxmlformats.org/officeDocument/2006/relationships/hyperlink" Target="https://www.jneurosci.org/content/32/3/983.short" TargetMode="External"/><Relationship Id="rId4" Type="http://schemas.openxmlformats.org/officeDocument/2006/relationships/hyperlink" Target="https://www.sciencedirect.com/science/article/pii/S0896627316001744" TargetMode="External"/><Relationship Id="rId3" Type="http://schemas.openxmlformats.org/officeDocument/2006/relationships/hyperlink" Target="https://www.sciencedirect.com/science/article/pii/S0896627314010770" TargetMode="External"/><Relationship Id="rId2" Type="http://schemas.openxmlformats.org/officeDocument/2006/relationships/hyperlink" Target="https://www.nature.com/articles/nn1909" TargetMode="External"/><Relationship Id="rId1" Type="http://schemas.openxmlformats.org/officeDocument/2006/relationships/hyperlink" Target="https://academic.oup.com/cercor/article/27/7/3869/374607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9"/>
  <sheetViews>
    <sheetView topLeftCell="A25" workbookViewId="0">
      <selection activeCell="A35" sqref="A35"/>
    </sheetView>
  </sheetViews>
  <sheetFormatPr defaultColWidth="9" defaultRowHeight="13.5"/>
  <cols>
    <col min="1" max="1" width="14.6272727272727" customWidth="1"/>
    <col min="2" max="6" width="7.68181818181818" customWidth="1"/>
    <col min="7" max="7" width="10" customWidth="1"/>
    <col min="8" max="8" width="10.0909090909091" customWidth="1"/>
    <col min="9" max="11" width="7.68181818181818" customWidth="1"/>
    <col min="12" max="12" width="7.5" customWidth="1"/>
    <col min="13" max="1026" width="10.9" customWidth="1"/>
  </cols>
  <sheetData>
    <row r="1" spans="1:1">
      <c r="A1" s="104" t="s">
        <v>0</v>
      </c>
    </row>
    <row r="2" spans="1:2">
      <c r="A2" s="177" t="s">
        <v>1</v>
      </c>
      <c r="B2" s="137"/>
    </row>
    <row r="3" spans="1:11">
      <c r="A3" s="1" t="s">
        <v>2</v>
      </c>
      <c r="B3" s="104"/>
      <c r="C3" t="s">
        <v>3</v>
      </c>
      <c r="D3" t="s">
        <v>4</v>
      </c>
      <c r="E3" t="s">
        <v>5</v>
      </c>
      <c r="F3" t="s">
        <v>6</v>
      </c>
      <c r="G3" s="1" t="s">
        <v>7</v>
      </c>
      <c r="H3" t="s">
        <v>4</v>
      </c>
      <c r="I3" t="s">
        <v>5</v>
      </c>
      <c r="J3" t="s">
        <v>6</v>
      </c>
      <c r="K3" t="s">
        <v>8</v>
      </c>
    </row>
    <row r="4" spans="1:11">
      <c r="A4" t="s">
        <v>9</v>
      </c>
      <c r="C4">
        <v>674.3</v>
      </c>
      <c r="D4">
        <v>179.5</v>
      </c>
      <c r="E4">
        <v>67.1</v>
      </c>
      <c r="F4">
        <v>87.6</v>
      </c>
      <c r="G4" t="s">
        <v>9</v>
      </c>
      <c r="H4" s="424">
        <f>D4/C4</f>
        <v>0.266201987246033</v>
      </c>
      <c r="I4" s="424">
        <f>E4/C4</f>
        <v>0.099510603588907</v>
      </c>
      <c r="J4" s="424">
        <f>F4/C4</f>
        <v>0.129912501853774</v>
      </c>
      <c r="K4" s="426">
        <f t="shared" ref="K4:K7" si="0">SUM(H4:J4)</f>
        <v>0.495625092688714</v>
      </c>
    </row>
    <row r="5" spans="1:11">
      <c r="A5" t="s">
        <v>10</v>
      </c>
      <c r="C5">
        <v>680.8</v>
      </c>
      <c r="D5">
        <v>295.8</v>
      </c>
      <c r="E5">
        <v>115.2</v>
      </c>
      <c r="F5">
        <v>19.7</v>
      </c>
      <c r="G5" t="s">
        <v>10</v>
      </c>
      <c r="H5" s="424">
        <f>D5/C5</f>
        <v>0.43448883666275</v>
      </c>
      <c r="I5" s="424">
        <f>E5/C5</f>
        <v>0.169212690951821</v>
      </c>
      <c r="J5" s="424">
        <f>F5/C5</f>
        <v>0.0289365452408931</v>
      </c>
      <c r="K5" s="426">
        <f t="shared" si="0"/>
        <v>0.632638072855464</v>
      </c>
    </row>
    <row r="6" spans="1:11">
      <c r="A6" t="s">
        <v>11</v>
      </c>
      <c r="C6">
        <v>607.9</v>
      </c>
      <c r="D6">
        <v>342.1</v>
      </c>
      <c r="E6">
        <v>120.8</v>
      </c>
      <c r="F6">
        <v>21.4</v>
      </c>
      <c r="G6" t="s">
        <v>11</v>
      </c>
      <c r="H6" s="424">
        <f>D6/C6</f>
        <v>0.562757032406646</v>
      </c>
      <c r="I6" s="424">
        <f>E6/C6</f>
        <v>0.198716894226024</v>
      </c>
      <c r="J6" s="424">
        <f>F6/C6</f>
        <v>0.0352031584142129</v>
      </c>
      <c r="K6" s="426">
        <f t="shared" si="0"/>
        <v>0.796677085046883</v>
      </c>
    </row>
    <row r="7" spans="1:11">
      <c r="A7" t="s">
        <v>12</v>
      </c>
      <c r="C7">
        <v>355.1</v>
      </c>
      <c r="D7">
        <v>138.1</v>
      </c>
      <c r="E7">
        <v>85.1</v>
      </c>
      <c r="F7">
        <v>28.5</v>
      </c>
      <c r="G7" t="s">
        <v>12</v>
      </c>
      <c r="H7" s="424">
        <f>D7/C7</f>
        <v>0.388904533934103</v>
      </c>
      <c r="I7" s="424">
        <f>E7/C7</f>
        <v>0.239650802590819</v>
      </c>
      <c r="J7" s="424">
        <f>F7/C7</f>
        <v>0.0802590819487468</v>
      </c>
      <c r="K7" s="426">
        <f t="shared" si="0"/>
        <v>0.708814418473669</v>
      </c>
    </row>
    <row r="8" spans="1:12">
      <c r="A8" s="177" t="s">
        <v>13</v>
      </c>
      <c r="I8" s="424"/>
      <c r="J8" s="424"/>
      <c r="K8" s="424"/>
      <c r="L8" s="427"/>
    </row>
    <row r="9" spans="7:11">
      <c r="G9" s="1" t="s">
        <v>7</v>
      </c>
      <c r="H9" t="s">
        <v>4</v>
      </c>
      <c r="I9" t="s">
        <v>5</v>
      </c>
      <c r="J9" t="s">
        <v>6</v>
      </c>
      <c r="K9" s="427" t="s">
        <v>8</v>
      </c>
    </row>
    <row r="10" spans="7:11">
      <c r="G10" t="s">
        <v>9</v>
      </c>
      <c r="H10" s="424">
        <v>0.253467843631778</v>
      </c>
      <c r="I10">
        <v>0.205548549810844</v>
      </c>
      <c r="J10">
        <v>0.20173266988678</v>
      </c>
      <c r="K10" s="426">
        <f>SUM(H10:J10)</f>
        <v>0.660749063329402</v>
      </c>
    </row>
    <row r="11" spans="7:11">
      <c r="G11" t="s">
        <v>10</v>
      </c>
      <c r="H11" s="424">
        <v>0.564943253467843</v>
      </c>
      <c r="I11">
        <v>0.316519546027742</v>
      </c>
      <c r="J11">
        <v>0.0505423129276476</v>
      </c>
      <c r="K11" s="426">
        <f>SUM(H11:J11)</f>
        <v>0.932005112423233</v>
      </c>
    </row>
    <row r="12" spans="7:11">
      <c r="G12" t="s">
        <v>11</v>
      </c>
      <c r="H12" s="424">
        <v>0.467843631778058</v>
      </c>
      <c r="I12">
        <v>0.453972257250945</v>
      </c>
      <c r="J12">
        <v>0.0304882295901412</v>
      </c>
      <c r="K12" s="426">
        <f>SUM(H12:J12)</f>
        <v>0.952304118619144</v>
      </c>
    </row>
    <row r="13" spans="7:11">
      <c r="G13" t="s">
        <v>12</v>
      </c>
      <c r="H13" s="424">
        <v>0.365699873896595</v>
      </c>
      <c r="I13">
        <v>0.438839848675914</v>
      </c>
      <c r="J13">
        <v>0.030058817905773</v>
      </c>
      <c r="K13" s="426">
        <f>SUM(H13:J13)</f>
        <v>0.834598540478282</v>
      </c>
    </row>
    <row r="15" spans="1:6">
      <c r="A15" s="104" t="s">
        <v>14</v>
      </c>
      <c r="B15" s="104"/>
      <c r="D15" s="422"/>
      <c r="E15" s="422"/>
      <c r="F15" s="422"/>
    </row>
    <row r="16" spans="1:2">
      <c r="A16" s="177" t="s">
        <v>15</v>
      </c>
      <c r="B16" s="104"/>
    </row>
    <row r="17" spans="1:11">
      <c r="A17" s="1" t="s">
        <v>16</v>
      </c>
      <c r="B17" s="104"/>
      <c r="G17" s="425" t="s">
        <v>17</v>
      </c>
      <c r="H17" s="425"/>
      <c r="I17" s="425"/>
      <c r="J17" s="425"/>
      <c r="K17" s="425"/>
    </row>
    <row r="18" spans="1:11">
      <c r="A18" s="1"/>
      <c r="B18" s="1" t="s">
        <v>18</v>
      </c>
      <c r="C18" t="s">
        <v>3</v>
      </c>
      <c r="D18" t="s">
        <v>19</v>
      </c>
      <c r="E18" t="s">
        <v>5</v>
      </c>
      <c r="F18" t="s">
        <v>6</v>
      </c>
      <c r="G18" s="425" t="s">
        <v>18</v>
      </c>
      <c r="H18" s="425" t="s">
        <v>3</v>
      </c>
      <c r="I18" s="425" t="s">
        <v>19</v>
      </c>
      <c r="J18" s="425" t="s">
        <v>5</v>
      </c>
      <c r="K18" s="425" t="s">
        <v>6</v>
      </c>
    </row>
    <row r="19" spans="1:11">
      <c r="A19" t="s">
        <v>9</v>
      </c>
      <c r="B19">
        <v>5099</v>
      </c>
      <c r="C19">
        <f>338+338</f>
        <v>676</v>
      </c>
      <c r="D19" s="422">
        <f>C19-(E19+F19)</f>
        <v>520.909980720747</v>
      </c>
      <c r="E19" s="422">
        <f>C19*I4</f>
        <v>67.2691680261011</v>
      </c>
      <c r="F19" s="422">
        <f>C19*J4</f>
        <v>87.8208512531514</v>
      </c>
      <c r="G19" s="425">
        <f>ROUND(B19/8,0)*8</f>
        <v>5096</v>
      </c>
      <c r="H19" s="425">
        <f>ROUND(C19/8,0)*8</f>
        <v>680</v>
      </c>
      <c r="I19" s="425">
        <f>ROUND(D19/8,0)*8</f>
        <v>520</v>
      </c>
      <c r="J19" s="425">
        <f>ROUND(E19/8,0)*8</f>
        <v>64</v>
      </c>
      <c r="K19" s="425">
        <f>ROUND(F19/8,0)*8</f>
        <v>88</v>
      </c>
    </row>
    <row r="20" spans="1:11">
      <c r="A20" t="s">
        <v>10</v>
      </c>
      <c r="B20">
        <v>4089</v>
      </c>
      <c r="C20">
        <v>358</v>
      </c>
      <c r="D20" s="422">
        <f>C20-(E20+F20)</f>
        <v>287.062573443008</v>
      </c>
      <c r="E20" s="422">
        <f>C20*I5</f>
        <v>60.5781433607521</v>
      </c>
      <c r="F20" s="422">
        <f>C20*J5</f>
        <v>10.3592831962397</v>
      </c>
      <c r="G20" s="425">
        <f t="shared" ref="G20:G28" si="1">ROUND(B20/8,0)*8</f>
        <v>4088</v>
      </c>
      <c r="H20" s="425">
        <f t="shared" ref="H20:H28" si="2">ROUND(C20/8,0)*8</f>
        <v>360</v>
      </c>
      <c r="I20" s="425">
        <f t="shared" ref="I20:I28" si="3">ROUND(D20/8,0)*8</f>
        <v>288</v>
      </c>
      <c r="J20" s="425">
        <f t="shared" ref="J20:J28" si="4">ROUND(E20/8,0)*8</f>
        <v>64</v>
      </c>
      <c r="K20" s="425">
        <f t="shared" ref="K20:K28" si="5">ROUND(F20/8,0)*8</f>
        <v>8</v>
      </c>
    </row>
    <row r="21" spans="1:11">
      <c r="A21" t="s">
        <v>11</v>
      </c>
      <c r="B21">
        <v>3267</v>
      </c>
      <c r="C21">
        <f>343+362</f>
        <v>705</v>
      </c>
      <c r="D21" s="422">
        <f>C21-(E21+F21)</f>
        <v>540.086362888633</v>
      </c>
      <c r="E21" s="422">
        <f>C21*I6</f>
        <v>140.095410429347</v>
      </c>
      <c r="F21" s="422">
        <f>C21*J6</f>
        <v>24.8182266820201</v>
      </c>
      <c r="G21" s="425">
        <f t="shared" si="1"/>
        <v>3264</v>
      </c>
      <c r="H21" s="425">
        <f t="shared" si="2"/>
        <v>704</v>
      </c>
      <c r="I21" s="425">
        <f t="shared" si="3"/>
        <v>544</v>
      </c>
      <c r="J21" s="425">
        <f t="shared" si="4"/>
        <v>144</v>
      </c>
      <c r="K21" s="425">
        <f t="shared" si="5"/>
        <v>24</v>
      </c>
    </row>
    <row r="22" spans="1:11">
      <c r="A22" t="s">
        <v>12</v>
      </c>
      <c r="B22">
        <v>4425</v>
      </c>
      <c r="C22">
        <f>337+90</f>
        <v>427</v>
      </c>
      <c r="D22" s="422">
        <f>C22-(E22+F22)</f>
        <v>290.398479301605</v>
      </c>
      <c r="E22" s="422">
        <f>C22*I7</f>
        <v>102.33089270628</v>
      </c>
      <c r="F22" s="422">
        <f>C22*J7</f>
        <v>34.2706279921149</v>
      </c>
      <c r="G22" s="425">
        <f t="shared" si="1"/>
        <v>4424</v>
      </c>
      <c r="H22" s="425">
        <f t="shared" si="2"/>
        <v>424</v>
      </c>
      <c r="I22" s="425">
        <f t="shared" si="3"/>
        <v>288</v>
      </c>
      <c r="J22" s="425">
        <f t="shared" si="4"/>
        <v>104</v>
      </c>
      <c r="K22" s="425">
        <f t="shared" si="5"/>
        <v>32</v>
      </c>
    </row>
    <row r="23" spans="1:11">
      <c r="A23" t="s">
        <v>20</v>
      </c>
      <c r="D23" s="422"/>
      <c r="E23" s="422"/>
      <c r="F23" s="422"/>
      <c r="G23" s="425"/>
      <c r="H23" s="425"/>
      <c r="I23" s="425"/>
      <c r="J23" s="425"/>
      <c r="K23" s="425"/>
    </row>
    <row r="24" spans="1:11">
      <c r="A24" s="1"/>
      <c r="B24" s="1" t="s">
        <v>18</v>
      </c>
      <c r="C24" t="s">
        <v>3</v>
      </c>
      <c r="D24" t="s">
        <v>19</v>
      </c>
      <c r="E24" t="s">
        <v>5</v>
      </c>
      <c r="F24" t="s">
        <v>6</v>
      </c>
      <c r="G24" s="425" t="s">
        <v>18</v>
      </c>
      <c r="H24" s="425" t="s">
        <v>3</v>
      </c>
      <c r="I24" s="425" t="s">
        <v>19</v>
      </c>
      <c r="J24" s="425" t="s">
        <v>5</v>
      </c>
      <c r="K24" s="425" t="s">
        <v>6</v>
      </c>
    </row>
    <row r="25" spans="1:11">
      <c r="A25" t="s">
        <v>9</v>
      </c>
      <c r="B25">
        <v>5099</v>
      </c>
      <c r="C25">
        <f>338+338</f>
        <v>676</v>
      </c>
      <c r="D25" s="422">
        <f t="shared" ref="D25:D28" si="6">C25-(E25+F25)</f>
        <v>400.677895484406</v>
      </c>
      <c r="E25" s="422">
        <f>C25*I10</f>
        <v>138.950819672131</v>
      </c>
      <c r="F25" s="422">
        <f>C25*J10</f>
        <v>136.371284843463</v>
      </c>
      <c r="G25" s="425">
        <f t="shared" si="1"/>
        <v>5096</v>
      </c>
      <c r="H25" s="425">
        <f t="shared" si="2"/>
        <v>680</v>
      </c>
      <c r="I25" s="425">
        <f t="shared" si="3"/>
        <v>400</v>
      </c>
      <c r="J25" s="425">
        <f t="shared" si="4"/>
        <v>136</v>
      </c>
      <c r="K25" s="425">
        <f t="shared" si="5"/>
        <v>136</v>
      </c>
    </row>
    <row r="26" spans="1:11">
      <c r="A26" t="s">
        <v>10</v>
      </c>
      <c r="B26">
        <v>4089</v>
      </c>
      <c r="C26">
        <v>358</v>
      </c>
      <c r="D26" s="422">
        <f t="shared" si="6"/>
        <v>226.591854493971</v>
      </c>
      <c r="E26" s="422">
        <f>C26*I11</f>
        <v>113.313997477932</v>
      </c>
      <c r="F26" s="422">
        <f>C26*J11</f>
        <v>18.0941480280978</v>
      </c>
      <c r="G26" s="425">
        <f t="shared" si="1"/>
        <v>4088</v>
      </c>
      <c r="H26" s="425">
        <f t="shared" si="2"/>
        <v>360</v>
      </c>
      <c r="I26" s="425">
        <f t="shared" si="3"/>
        <v>224</v>
      </c>
      <c r="J26" s="425">
        <f t="shared" si="4"/>
        <v>112</v>
      </c>
      <c r="K26" s="425">
        <f t="shared" si="5"/>
        <v>16</v>
      </c>
    </row>
    <row r="27" spans="1:11">
      <c r="A27" t="s">
        <v>11</v>
      </c>
      <c r="B27">
        <v>3267</v>
      </c>
      <c r="C27">
        <f>343+362</f>
        <v>705</v>
      </c>
      <c r="D27" s="422">
        <f t="shared" si="6"/>
        <v>363.455356777034</v>
      </c>
      <c r="E27" s="422">
        <f>C27*I12</f>
        <v>320.050441361916</v>
      </c>
      <c r="F27" s="422">
        <f>C27*J12</f>
        <v>21.4942018610495</v>
      </c>
      <c r="G27" s="425">
        <f t="shared" si="1"/>
        <v>3264</v>
      </c>
      <c r="H27" s="425">
        <f t="shared" si="2"/>
        <v>704</v>
      </c>
      <c r="I27" s="425">
        <f t="shared" si="3"/>
        <v>360</v>
      </c>
      <c r="J27" s="425">
        <f t="shared" si="4"/>
        <v>320</v>
      </c>
      <c r="K27" s="425">
        <f t="shared" si="5"/>
        <v>24</v>
      </c>
    </row>
    <row r="28" spans="1:11">
      <c r="A28" t="s">
        <v>12</v>
      </c>
      <c r="B28">
        <v>4425</v>
      </c>
      <c r="C28">
        <f>337+90</f>
        <v>427</v>
      </c>
      <c r="D28" s="422">
        <f t="shared" si="6"/>
        <v>226.78026936962</v>
      </c>
      <c r="E28" s="422">
        <f>C28*I13</f>
        <v>187.384615384615</v>
      </c>
      <c r="F28" s="422">
        <f>C28*J13</f>
        <v>12.8351152457651</v>
      </c>
      <c r="G28" s="425">
        <f t="shared" si="1"/>
        <v>4424</v>
      </c>
      <c r="H28" s="425">
        <f t="shared" si="2"/>
        <v>424</v>
      </c>
      <c r="I28" s="425">
        <f t="shared" si="3"/>
        <v>224</v>
      </c>
      <c r="J28" s="425">
        <f t="shared" si="4"/>
        <v>184</v>
      </c>
      <c r="K28" s="425">
        <f t="shared" si="5"/>
        <v>16</v>
      </c>
    </row>
    <row r="29" spans="1:11">
      <c r="A29" t="s">
        <v>8</v>
      </c>
      <c r="B29">
        <f>SUM(B25:B28)</f>
        <v>16880</v>
      </c>
      <c r="C29">
        <f>SUM(C25:C28)</f>
        <v>2166</v>
      </c>
      <c r="D29" s="422"/>
      <c r="E29" s="422"/>
      <c r="F29" s="422"/>
      <c r="G29" s="425"/>
      <c r="H29" s="425"/>
      <c r="I29" s="425"/>
      <c r="J29" s="425"/>
      <c r="K29" s="425"/>
    </row>
    <row r="30" spans="1:11">
      <c r="A30" t="s">
        <v>21</v>
      </c>
      <c r="B30">
        <f>B29/C29</f>
        <v>7.79316712834718</v>
      </c>
      <c r="D30" s="422"/>
      <c r="E30" s="422"/>
      <c r="F30" s="422"/>
      <c r="G30" s="425"/>
      <c r="H30" s="425"/>
      <c r="I30" s="425"/>
      <c r="J30" s="425"/>
      <c r="K30" s="425"/>
    </row>
    <row r="31" spans="1:2">
      <c r="A31" s="177"/>
      <c r="B31" s="177"/>
    </row>
    <row r="32" spans="1:2">
      <c r="A32" s="177"/>
      <c r="B32" s="177"/>
    </row>
    <row r="34" spans="1:2">
      <c r="A34" s="104" t="s">
        <v>22</v>
      </c>
      <c r="B34" s="104"/>
    </row>
    <row r="35" spans="1:2">
      <c r="A35" s="177" t="s">
        <v>23</v>
      </c>
      <c r="B35" s="104"/>
    </row>
    <row r="36" spans="1:7">
      <c r="A36" s="1" t="s">
        <v>24</v>
      </c>
      <c r="B36" s="104"/>
      <c r="G36" s="425" t="s">
        <v>17</v>
      </c>
    </row>
    <row r="37" spans="1:11">
      <c r="A37" s="1"/>
      <c r="B37" s="1" t="s">
        <v>18</v>
      </c>
      <c r="C37" t="s">
        <v>3</v>
      </c>
      <c r="D37" t="s">
        <v>19</v>
      </c>
      <c r="E37" t="s">
        <v>5</v>
      </c>
      <c r="F37" t="s">
        <v>6</v>
      </c>
      <c r="G37" s="425" t="s">
        <v>18</v>
      </c>
      <c r="H37" s="425" t="s">
        <v>3</v>
      </c>
      <c r="I37" s="425" t="s">
        <v>19</v>
      </c>
      <c r="J37" s="425" t="s">
        <v>5</v>
      </c>
      <c r="K37" s="425" t="s">
        <v>6</v>
      </c>
    </row>
    <row r="38" spans="1:11">
      <c r="A38" t="s">
        <v>25</v>
      </c>
      <c r="B38">
        <f>546+1145</f>
        <v>1691</v>
      </c>
      <c r="C38">
        <f>107+123</f>
        <v>230</v>
      </c>
      <c r="D38" s="423">
        <f>C38*H10/K10</f>
        <v>88.22956742694</v>
      </c>
      <c r="E38" s="423">
        <f>C38*I10/K10</f>
        <v>71.5493506994585</v>
      </c>
      <c r="F38" s="423">
        <f>C38*J10/K10</f>
        <v>70.2210818736014</v>
      </c>
      <c r="G38" s="425">
        <f t="shared" ref="G38:G41" si="7">ROUND(B38/8,0)*8</f>
        <v>1688</v>
      </c>
      <c r="H38" s="425">
        <f t="shared" ref="H38:H41" si="8">ROUND(C38/8,0)*8</f>
        <v>232</v>
      </c>
      <c r="I38" s="425">
        <f t="shared" ref="I38:K38" si="9">ROUND(D38/8,0)*8</f>
        <v>88</v>
      </c>
      <c r="J38" s="425">
        <f t="shared" si="9"/>
        <v>72</v>
      </c>
      <c r="K38" s="425">
        <f t="shared" si="9"/>
        <v>72</v>
      </c>
    </row>
    <row r="39" spans="1:11">
      <c r="A39" t="s">
        <v>10</v>
      </c>
      <c r="B39">
        <v>1656</v>
      </c>
      <c r="C39">
        <v>140</v>
      </c>
      <c r="D39" s="423">
        <f>C39*H11/K11</f>
        <v>84.8622549718177</v>
      </c>
      <c r="E39" s="423">
        <f>C39*I11/K11</f>
        <v>47.545593745371</v>
      </c>
      <c r="F39" s="423">
        <f>C39*J11/K11</f>
        <v>7.59215128281122</v>
      </c>
      <c r="G39" s="425">
        <f t="shared" si="7"/>
        <v>1656</v>
      </c>
      <c r="H39" s="425">
        <f t="shared" si="8"/>
        <v>144</v>
      </c>
      <c r="I39" s="425">
        <f t="shared" ref="I39:K39" si="10">ROUND(D39/8,0)*8</f>
        <v>88</v>
      </c>
      <c r="J39" s="425">
        <f t="shared" si="10"/>
        <v>48</v>
      </c>
      <c r="K39" s="425">
        <f t="shared" si="10"/>
        <v>8</v>
      </c>
    </row>
    <row r="40" spans="1:11">
      <c r="A40" t="s">
        <v>11</v>
      </c>
      <c r="B40">
        <f>454+641</f>
        <v>1095</v>
      </c>
      <c r="C40">
        <f>90+131</f>
        <v>221</v>
      </c>
      <c r="D40" s="423">
        <f>C40*H12/K12</f>
        <v>108.571873838867</v>
      </c>
      <c r="E40" s="423">
        <f>C40*I12/K12</f>
        <v>105.352761676528</v>
      </c>
      <c r="F40" s="423">
        <f>C40*J12/K12</f>
        <v>7.07536448460526</v>
      </c>
      <c r="G40" s="425">
        <f t="shared" si="7"/>
        <v>1096</v>
      </c>
      <c r="H40" s="425">
        <f t="shared" si="8"/>
        <v>224</v>
      </c>
      <c r="I40" s="425">
        <f t="shared" ref="I40:K40" si="11">ROUND(D40/8,0)*8</f>
        <v>112</v>
      </c>
      <c r="J40" s="425">
        <f t="shared" si="11"/>
        <v>104</v>
      </c>
      <c r="K40" s="425">
        <f t="shared" si="11"/>
        <v>8</v>
      </c>
    </row>
    <row r="41" spans="1:11">
      <c r="A41" t="s">
        <v>12</v>
      </c>
      <c r="B41">
        <v>1288</v>
      </c>
      <c r="C41">
        <v>127</v>
      </c>
      <c r="D41" s="423">
        <f>C41*H13/K13</f>
        <v>55.6481730225074</v>
      </c>
      <c r="E41" s="423">
        <f>C41*I13/K13</f>
        <v>66.7778076270089</v>
      </c>
      <c r="F41" s="423">
        <f>C41*J13/K13</f>
        <v>4.57401935048377</v>
      </c>
      <c r="G41" s="425">
        <f t="shared" si="7"/>
        <v>1288</v>
      </c>
      <c r="H41" s="425">
        <f t="shared" si="8"/>
        <v>128</v>
      </c>
      <c r="I41" s="425">
        <f t="shared" ref="I41:K41" si="12">ROUND(D41/8,0)*8</f>
        <v>56</v>
      </c>
      <c r="J41" s="425">
        <f t="shared" si="12"/>
        <v>64</v>
      </c>
      <c r="K41" s="425">
        <f t="shared" si="12"/>
        <v>8</v>
      </c>
    </row>
    <row r="42" spans="1:11">
      <c r="A42" t="s">
        <v>8</v>
      </c>
      <c r="B42">
        <f>SUM(B38:B41)</f>
        <v>5730</v>
      </c>
      <c r="C42">
        <f>SUM(C38:C41)</f>
        <v>718</v>
      </c>
      <c r="F42" s="423"/>
      <c r="I42" s="425"/>
      <c r="J42" s="425"/>
      <c r="K42" s="425"/>
    </row>
    <row r="43" spans="1:2">
      <c r="A43" t="s">
        <v>21</v>
      </c>
      <c r="B43">
        <f>B42/C42</f>
        <v>7.98050139275766</v>
      </c>
    </row>
    <row r="45" spans="1:3">
      <c r="A45" t="s">
        <v>26</v>
      </c>
      <c r="C45" t="s">
        <v>27</v>
      </c>
    </row>
    <row r="46" spans="1:3">
      <c r="A46" t="s">
        <v>25</v>
      </c>
      <c r="B46">
        <f>418-128</f>
        <v>290</v>
      </c>
      <c r="C46">
        <f>C47+B46</f>
        <v>1026</v>
      </c>
    </row>
    <row r="47" spans="1:3">
      <c r="A47" t="s">
        <v>10</v>
      </c>
      <c r="B47">
        <f>588-418</f>
        <v>170</v>
      </c>
      <c r="C47">
        <f>C48+B47</f>
        <v>736</v>
      </c>
    </row>
    <row r="48" spans="1:3">
      <c r="A48" t="s">
        <v>11</v>
      </c>
      <c r="B48">
        <f>890-588</f>
        <v>302</v>
      </c>
      <c r="C48">
        <f>C49+B48</f>
        <v>566</v>
      </c>
    </row>
    <row r="49" spans="1:3">
      <c r="A49" t="s">
        <v>12</v>
      </c>
      <c r="B49">
        <f>1154-890</f>
        <v>264</v>
      </c>
      <c r="C49">
        <f>B49</f>
        <v>264</v>
      </c>
    </row>
  </sheetData>
  <hyperlinks>
    <hyperlink ref="A2" r:id="rId2" display="1. Xu_2010_Immunochemical Characterization of Inhibitory MouseCortical Neurons Three Chemically Distinct Classes ofInhibitory Cells"/>
    <hyperlink ref="A16" r:id="rId3" display="Meyer_2011_Inhibitory interneurons in a cortical column form hot zones of inhibition in layers 2 and 5A"/>
    <hyperlink ref="A8" r:id="rId4" display="2. Lee, Rudy_2010_The Largest Group of Superficial Neocortical GABAergic Interneurons Expresses Ionotropic Serotonin Receptors"/>
    <hyperlink ref="A35" r:id="rId5" display="The excitatory neuronal network of the C2 barrel column in mouse primary somatosensory cortex."/>
  </hyperlink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8"/>
  <sheetViews>
    <sheetView topLeftCell="A47" workbookViewId="0">
      <selection activeCell="A84" sqref="A84"/>
    </sheetView>
  </sheetViews>
  <sheetFormatPr defaultColWidth="8.89090909090909" defaultRowHeight="13.5"/>
  <sheetData>
    <row r="1" ht="14.5" spans="1:18">
      <c r="A1" s="2" t="s">
        <v>448</v>
      </c>
      <c r="B1" s="3"/>
      <c r="C1" s="4" t="s">
        <v>25</v>
      </c>
      <c r="D1" s="4"/>
      <c r="E1" s="4"/>
      <c r="F1" s="4"/>
      <c r="G1" s="4" t="s">
        <v>10</v>
      </c>
      <c r="H1" s="4"/>
      <c r="I1" s="4"/>
      <c r="J1" s="4"/>
      <c r="K1" s="4" t="s">
        <v>11</v>
      </c>
      <c r="L1" s="4"/>
      <c r="M1" s="4"/>
      <c r="N1" s="4"/>
      <c r="O1" s="62" t="s">
        <v>12</v>
      </c>
      <c r="P1" s="62"/>
      <c r="Q1" s="62"/>
      <c r="R1" s="62"/>
    </row>
    <row r="2" ht="15.25" spans="1:19">
      <c r="A2" s="5" t="s">
        <v>449</v>
      </c>
      <c r="B2" s="6"/>
      <c r="C2" s="6" t="s">
        <v>18</v>
      </c>
      <c r="D2" s="6" t="s">
        <v>4</v>
      </c>
      <c r="E2" s="6" t="s">
        <v>5</v>
      </c>
      <c r="F2" s="6" t="s">
        <v>6</v>
      </c>
      <c r="G2" s="6" t="s">
        <v>18</v>
      </c>
      <c r="H2" s="6" t="s">
        <v>4</v>
      </c>
      <c r="I2" s="6" t="s">
        <v>5</v>
      </c>
      <c r="J2" s="6" t="s">
        <v>6</v>
      </c>
      <c r="K2" s="6" t="s">
        <v>18</v>
      </c>
      <c r="L2" s="6" t="s">
        <v>4</v>
      </c>
      <c r="M2" s="6" t="s">
        <v>5</v>
      </c>
      <c r="N2" s="6" t="s">
        <v>6</v>
      </c>
      <c r="O2" s="6" t="s">
        <v>18</v>
      </c>
      <c r="P2" s="6" t="s">
        <v>4</v>
      </c>
      <c r="Q2" s="6" t="s">
        <v>5</v>
      </c>
      <c r="R2" s="69" t="s">
        <v>6</v>
      </c>
      <c r="S2" s="28" t="s">
        <v>450</v>
      </c>
    </row>
    <row r="3" ht="34" customHeight="1" spans="1:20">
      <c r="A3" s="7" t="s">
        <v>25</v>
      </c>
      <c r="B3" s="4" t="s">
        <v>18</v>
      </c>
      <c r="C3" s="8" t="s">
        <v>451</v>
      </c>
      <c r="D3" s="9"/>
      <c r="E3" s="9"/>
      <c r="F3" s="39"/>
      <c r="G3" s="9"/>
      <c r="H3" s="40"/>
      <c r="I3" s="40"/>
      <c r="J3" s="40"/>
      <c r="K3" s="56"/>
      <c r="L3" s="40"/>
      <c r="M3" s="40"/>
      <c r="N3" s="63"/>
      <c r="O3" s="56"/>
      <c r="P3" s="40"/>
      <c r="Q3" s="40"/>
      <c r="R3" s="70"/>
      <c r="T3" s="30"/>
    </row>
    <row r="4" ht="58.75" spans="1:18">
      <c r="A4" s="7"/>
      <c r="B4" s="10" t="s">
        <v>4</v>
      </c>
      <c r="C4" s="11" t="s">
        <v>452</v>
      </c>
      <c r="D4" s="12"/>
      <c r="E4" s="19"/>
      <c r="F4" s="41"/>
      <c r="G4" s="19"/>
      <c r="H4" s="19"/>
      <c r="I4" s="19"/>
      <c r="J4" s="19"/>
      <c r="K4" s="20"/>
      <c r="L4" s="19"/>
      <c r="M4" s="19"/>
      <c r="N4" s="13"/>
      <c r="O4" s="20"/>
      <c r="P4" s="19"/>
      <c r="Q4" s="19"/>
      <c r="R4" s="71"/>
    </row>
    <row r="5" ht="58.75" spans="1:18">
      <c r="A5" s="7"/>
      <c r="B5" s="10" t="s">
        <v>5</v>
      </c>
      <c r="C5" s="13" t="s">
        <v>453</v>
      </c>
      <c r="D5" s="14" t="s">
        <v>454</v>
      </c>
      <c r="E5" s="42" t="s">
        <v>455</v>
      </c>
      <c r="F5" s="13"/>
      <c r="G5" s="19"/>
      <c r="H5" s="19"/>
      <c r="I5" s="19"/>
      <c r="J5" s="19"/>
      <c r="K5" s="20"/>
      <c r="L5" s="19"/>
      <c r="M5" s="19"/>
      <c r="N5" s="13"/>
      <c r="O5" s="20"/>
      <c r="P5" s="19"/>
      <c r="Q5" s="19"/>
      <c r="R5" s="71"/>
    </row>
    <row r="6" ht="14.5" spans="1:18">
      <c r="A6" s="7"/>
      <c r="B6" s="10" t="s">
        <v>6</v>
      </c>
      <c r="C6" s="15"/>
      <c r="D6" s="16"/>
      <c r="E6" s="16"/>
      <c r="F6" s="43"/>
      <c r="G6" s="44"/>
      <c r="H6" s="45"/>
      <c r="I6" s="45"/>
      <c r="J6" s="45"/>
      <c r="K6" s="57"/>
      <c r="L6" s="45"/>
      <c r="M6" s="45"/>
      <c r="N6" s="64"/>
      <c r="O6" s="57"/>
      <c r="P6" s="45"/>
      <c r="Q6" s="45"/>
      <c r="R6" s="72"/>
    </row>
    <row r="7" ht="50.75" customHeight="1" spans="1:20">
      <c r="A7" s="17" t="s">
        <v>10</v>
      </c>
      <c r="B7" s="10" t="s">
        <v>18</v>
      </c>
      <c r="C7" s="18"/>
      <c r="D7" s="19"/>
      <c r="E7" s="19"/>
      <c r="F7" s="13"/>
      <c r="G7" s="46" t="s">
        <v>456</v>
      </c>
      <c r="H7" s="47" t="s">
        <v>457</v>
      </c>
      <c r="I7" s="58" t="s">
        <v>458</v>
      </c>
      <c r="J7" s="59"/>
      <c r="K7" s="21"/>
      <c r="L7" s="22"/>
      <c r="M7" s="22"/>
      <c r="N7" s="22"/>
      <c r="O7" s="21"/>
      <c r="P7" s="22"/>
      <c r="Q7" s="22"/>
      <c r="R7" s="73"/>
      <c r="S7" s="28" t="s">
        <v>459</v>
      </c>
      <c r="T7" s="28"/>
    </row>
    <row r="8" ht="53.5" customHeight="1" spans="1:18">
      <c r="A8" s="17"/>
      <c r="B8" s="10" t="s">
        <v>4</v>
      </c>
      <c r="C8" s="20"/>
      <c r="D8" s="19"/>
      <c r="E8" s="19"/>
      <c r="F8" s="13"/>
      <c r="G8" s="48" t="s">
        <v>460</v>
      </c>
      <c r="H8" s="14" t="s">
        <v>461</v>
      </c>
      <c r="I8" s="58" t="s">
        <v>462</v>
      </c>
      <c r="J8" s="51"/>
      <c r="K8" s="20"/>
      <c r="L8" s="19"/>
      <c r="M8" s="19"/>
      <c r="N8" s="19"/>
      <c r="O8" s="20"/>
      <c r="P8" s="19"/>
      <c r="Q8" s="19"/>
      <c r="R8" s="71"/>
    </row>
    <row r="9" ht="35.5" customHeight="1" spans="1:20">
      <c r="A9" s="17"/>
      <c r="B9" s="10" t="s">
        <v>5</v>
      </c>
      <c r="C9" s="20"/>
      <c r="D9" s="19"/>
      <c r="E9" s="19"/>
      <c r="F9" s="13"/>
      <c r="G9" s="49" t="s">
        <v>463</v>
      </c>
      <c r="H9" s="14" t="s">
        <v>464</v>
      </c>
      <c r="I9" s="49"/>
      <c r="J9" s="51"/>
      <c r="K9" s="20"/>
      <c r="L9" s="19"/>
      <c r="M9" s="19"/>
      <c r="N9" s="19"/>
      <c r="O9" s="20"/>
      <c r="P9" s="19"/>
      <c r="Q9" s="19"/>
      <c r="R9" s="71"/>
      <c r="T9" s="28"/>
    </row>
    <row r="10" ht="14.5" spans="1:18">
      <c r="A10" s="17"/>
      <c r="B10" s="10" t="s">
        <v>6</v>
      </c>
      <c r="C10" s="20"/>
      <c r="D10" s="19"/>
      <c r="E10" s="19"/>
      <c r="F10" s="13"/>
      <c r="G10" s="50"/>
      <c r="H10" s="51"/>
      <c r="I10" s="51"/>
      <c r="J10" s="51"/>
      <c r="K10" s="57"/>
      <c r="L10" s="45"/>
      <c r="M10" s="45"/>
      <c r="N10" s="45"/>
      <c r="O10" s="57"/>
      <c r="P10" s="45"/>
      <c r="Q10" s="45"/>
      <c r="R10" s="72"/>
    </row>
    <row r="11" ht="14.5" spans="1:20">
      <c r="A11" s="17" t="s">
        <v>11</v>
      </c>
      <c r="B11" s="10" t="s">
        <v>18</v>
      </c>
      <c r="C11" s="21"/>
      <c r="D11" s="22"/>
      <c r="E11" s="22"/>
      <c r="F11" s="11"/>
      <c r="G11" s="21"/>
      <c r="H11" s="22"/>
      <c r="I11" s="22"/>
      <c r="J11" s="11"/>
      <c r="K11" s="19"/>
      <c r="L11" s="19"/>
      <c r="M11" s="19"/>
      <c r="N11" s="65"/>
      <c r="O11" s="21"/>
      <c r="P11" s="22"/>
      <c r="Q11" s="22"/>
      <c r="R11" s="73"/>
      <c r="T11" s="28"/>
    </row>
    <row r="12" ht="29" spans="1:18">
      <c r="A12" s="17"/>
      <c r="B12" s="10" t="s">
        <v>4</v>
      </c>
      <c r="C12" s="20"/>
      <c r="D12" s="19"/>
      <c r="E12" s="19"/>
      <c r="F12" s="13"/>
      <c r="G12" s="20"/>
      <c r="H12" s="19"/>
      <c r="I12" s="19"/>
      <c r="J12" s="13"/>
      <c r="K12" s="12"/>
      <c r="L12" s="42" t="s">
        <v>465</v>
      </c>
      <c r="M12" s="12"/>
      <c r="N12" s="65"/>
      <c r="O12" s="20"/>
      <c r="P12" s="19"/>
      <c r="Q12" s="19"/>
      <c r="R12" s="71"/>
    </row>
    <row r="13" ht="14.5" spans="1:18">
      <c r="A13" s="17"/>
      <c r="B13" s="10" t="s">
        <v>5</v>
      </c>
      <c r="C13" s="20"/>
      <c r="D13" s="19"/>
      <c r="E13" s="19"/>
      <c r="F13" s="13"/>
      <c r="G13" s="20"/>
      <c r="H13" s="19"/>
      <c r="I13" s="19"/>
      <c r="J13" s="13"/>
      <c r="K13" s="12"/>
      <c r="L13" s="12"/>
      <c r="M13" s="12"/>
      <c r="N13" s="65"/>
      <c r="O13" s="20"/>
      <c r="P13" s="19"/>
      <c r="Q13" s="19"/>
      <c r="R13" s="71"/>
    </row>
    <row r="14" ht="14.5" spans="1:18">
      <c r="A14" s="17"/>
      <c r="B14" s="10" t="s">
        <v>6</v>
      </c>
      <c r="C14" s="20"/>
      <c r="D14" s="19"/>
      <c r="E14" s="19"/>
      <c r="F14" s="13"/>
      <c r="G14" s="20"/>
      <c r="H14" s="19"/>
      <c r="I14" s="19"/>
      <c r="J14" s="13"/>
      <c r="K14" s="16"/>
      <c r="L14" s="16"/>
      <c r="M14" s="16"/>
      <c r="N14" s="66"/>
      <c r="O14" s="57"/>
      <c r="P14" s="45"/>
      <c r="Q14" s="45"/>
      <c r="R14" s="72"/>
    </row>
    <row r="15" ht="15.25" spans="1:18">
      <c r="A15" s="23" t="s">
        <v>12</v>
      </c>
      <c r="B15" s="10" t="s">
        <v>18</v>
      </c>
      <c r="C15" s="21"/>
      <c r="D15" s="22"/>
      <c r="E15" s="22"/>
      <c r="F15" s="11"/>
      <c r="G15" s="21"/>
      <c r="H15" s="22"/>
      <c r="I15" s="22"/>
      <c r="J15" s="11"/>
      <c r="K15" s="60"/>
      <c r="L15" s="19"/>
      <c r="M15" s="19"/>
      <c r="N15" s="19"/>
      <c r="O15" s="21"/>
      <c r="P15" s="59"/>
      <c r="Q15" s="59"/>
      <c r="R15" s="74"/>
    </row>
    <row r="16" ht="15.25" spans="1:18">
      <c r="A16" s="23"/>
      <c r="B16" s="10" t="s">
        <v>4</v>
      </c>
      <c r="C16" s="20"/>
      <c r="D16" s="19"/>
      <c r="E16" s="19"/>
      <c r="F16" s="13"/>
      <c r="G16" s="20"/>
      <c r="H16" s="19"/>
      <c r="I16" s="19"/>
      <c r="J16" s="13"/>
      <c r="K16" s="19"/>
      <c r="L16" s="19"/>
      <c r="M16" s="19"/>
      <c r="N16" s="19"/>
      <c r="O16" s="50"/>
      <c r="P16" s="51"/>
      <c r="Q16" s="51"/>
      <c r="R16" s="75"/>
    </row>
    <row r="17" ht="15.25" spans="1:18">
      <c r="A17" s="23"/>
      <c r="B17" s="10" t="s">
        <v>5</v>
      </c>
      <c r="C17" s="20"/>
      <c r="D17" s="19"/>
      <c r="E17" s="19"/>
      <c r="F17" s="13"/>
      <c r="G17" s="20"/>
      <c r="H17" s="19"/>
      <c r="I17" s="19"/>
      <c r="J17" s="13"/>
      <c r="K17" s="19"/>
      <c r="L17" s="19"/>
      <c r="M17" s="19"/>
      <c r="N17" s="19"/>
      <c r="O17" s="50"/>
      <c r="P17" s="51"/>
      <c r="Q17" s="51"/>
      <c r="R17" s="75"/>
    </row>
    <row r="18" ht="15.25" spans="1:18">
      <c r="A18" s="23"/>
      <c r="B18" s="24" t="s">
        <v>6</v>
      </c>
      <c r="C18" s="25"/>
      <c r="D18" s="26"/>
      <c r="E18" s="26"/>
      <c r="F18" s="52"/>
      <c r="G18" s="25"/>
      <c r="H18" s="26"/>
      <c r="I18" s="26"/>
      <c r="J18" s="52"/>
      <c r="K18" s="26"/>
      <c r="L18" s="26"/>
      <c r="M18" s="26"/>
      <c r="N18" s="26"/>
      <c r="O18" s="67"/>
      <c r="P18" s="68"/>
      <c r="Q18" s="68"/>
      <c r="R18" s="76"/>
    </row>
    <row r="19" ht="14.5" spans="1:17">
      <c r="A19" s="27"/>
      <c r="B19" s="28" t="s">
        <v>466</v>
      </c>
      <c r="C19" s="28" t="s">
        <v>29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</row>
    <row r="20" ht="14.5" spans="1:17">
      <c r="A20" s="28" t="s">
        <v>41</v>
      </c>
      <c r="B20" s="28">
        <v>0</v>
      </c>
      <c r="C20" s="28" t="s">
        <v>114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ht="14.5" spans="1:17">
      <c r="A21" s="28" t="s">
        <v>52</v>
      </c>
      <c r="B21" s="28">
        <v>-50</v>
      </c>
      <c r="C21" s="28" t="s">
        <v>467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</row>
    <row r="22" ht="14.5" spans="1:17">
      <c r="A22" s="28" t="s">
        <v>60</v>
      </c>
      <c r="B22" s="28">
        <v>-60</v>
      </c>
      <c r="C22" s="28" t="s">
        <v>468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ht="14.5" spans="1:17">
      <c r="A23" s="28" t="s">
        <v>67</v>
      </c>
      <c r="B23" s="28">
        <v>0</v>
      </c>
      <c r="C23" s="28" t="s">
        <v>469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</row>
    <row r="24" ht="15.5" customHeight="1" spans="1:17">
      <c r="A24" s="28" t="s">
        <v>76</v>
      </c>
      <c r="B24" s="28">
        <v>-50</v>
      </c>
      <c r="C24" s="29" t="s">
        <v>379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="1" customFormat="1" ht="14" customHeight="1" spans="1:17">
      <c r="A25" s="28" t="s">
        <v>82</v>
      </c>
      <c r="B25" s="28" t="s">
        <v>470</v>
      </c>
      <c r="C25" s="29" t="s">
        <v>471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</row>
    <row r="26" ht="14.5" spans="1:18">
      <c r="A26" s="28"/>
      <c r="B26" s="28"/>
      <c r="C26" s="28"/>
      <c r="D26" s="30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</row>
    <row r="27" ht="14.5" spans="1:18">
      <c r="A27" s="2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</row>
    <row r="28" ht="14.5" spans="1:18">
      <c r="A28" s="28" t="s">
        <v>472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</row>
    <row r="29" ht="14.5" spans="1:18">
      <c r="A29" s="31"/>
      <c r="B29" s="31" t="s">
        <v>76</v>
      </c>
      <c r="C29" s="31" t="s">
        <v>473</v>
      </c>
      <c r="D29" s="31" t="s">
        <v>474</v>
      </c>
      <c r="E29" s="31" t="s">
        <v>475</v>
      </c>
      <c r="F29" s="32" t="s">
        <v>128</v>
      </c>
      <c r="G29" s="31" t="s">
        <v>473</v>
      </c>
      <c r="H29" s="31" t="s">
        <v>474</v>
      </c>
      <c r="I29" s="31" t="s">
        <v>475</v>
      </c>
      <c r="J29" s="32" t="s">
        <v>128</v>
      </c>
      <c r="K29" s="31" t="s">
        <v>473</v>
      </c>
      <c r="L29" s="31" t="s">
        <v>474</v>
      </c>
      <c r="M29" s="31" t="s">
        <v>475</v>
      </c>
      <c r="N29" s="32" t="s">
        <v>128</v>
      </c>
      <c r="O29" s="31" t="s">
        <v>473</v>
      </c>
      <c r="P29" s="31" t="s">
        <v>474</v>
      </c>
      <c r="Q29" s="31" t="s">
        <v>475</v>
      </c>
      <c r="R29" s="28"/>
    </row>
    <row r="30" ht="14.5" spans="1:17">
      <c r="A30" s="32" t="s">
        <v>128</v>
      </c>
      <c r="B30" s="33">
        <f>5/80</f>
        <v>0.0625</v>
      </c>
      <c r="C30" s="34">
        <f>19/50</f>
        <v>0.38</v>
      </c>
      <c r="D30" s="34">
        <f>16/59</f>
        <v>0.271186440677966</v>
      </c>
      <c r="E30" s="53">
        <f>9/51</f>
        <v>0.176470588235294</v>
      </c>
      <c r="F30" s="33">
        <f>1/29</f>
        <v>0.0344827586206897</v>
      </c>
      <c r="G30" s="34">
        <f>5/16</f>
        <v>0.3125</v>
      </c>
      <c r="H30" s="34">
        <f>1/11</f>
        <v>0.0909090909090909</v>
      </c>
      <c r="I30" s="53">
        <f>0/10</f>
        <v>0</v>
      </c>
      <c r="J30" s="33">
        <f>2/(10+13)</f>
        <v>0.0869565217391304</v>
      </c>
      <c r="K30" s="34"/>
      <c r="L30" s="34">
        <f>0/17</f>
        <v>0</v>
      </c>
      <c r="M30" s="53"/>
      <c r="N30" s="34">
        <f>0/14</f>
        <v>0</v>
      </c>
      <c r="O30" s="34">
        <f>0/12</f>
        <v>0</v>
      </c>
      <c r="P30" s="34"/>
      <c r="Q30" s="53"/>
    </row>
    <row r="31" ht="14.5" spans="1:17">
      <c r="A31" s="31" t="s">
        <v>473</v>
      </c>
      <c r="B31" s="35">
        <f>17/49</f>
        <v>0.346938775510204</v>
      </c>
      <c r="C31" s="36">
        <f>36/97</f>
        <v>0.371134020618557</v>
      </c>
      <c r="D31" s="36">
        <f>5/68</f>
        <v>0.0735294117647059</v>
      </c>
      <c r="E31" s="54">
        <f>0/47</f>
        <v>0</v>
      </c>
      <c r="F31" s="35">
        <f>2/16</f>
        <v>0.125</v>
      </c>
      <c r="G31" s="36">
        <f>3/17</f>
        <v>0.176470588235294</v>
      </c>
      <c r="H31" s="36"/>
      <c r="I31" s="54"/>
      <c r="J31" s="35">
        <f>1/(11+17)</f>
        <v>0.0357142857142857</v>
      </c>
      <c r="K31" s="61">
        <f>2/16</f>
        <v>0.125</v>
      </c>
      <c r="L31" s="61"/>
      <c r="M31" s="54"/>
      <c r="N31" s="36"/>
      <c r="O31" s="36"/>
      <c r="P31" s="36"/>
      <c r="Q31" s="54"/>
    </row>
    <row r="32" ht="14.5" spans="1:17">
      <c r="A32" s="31" t="s">
        <v>474</v>
      </c>
      <c r="B32" s="35">
        <f>11/53</f>
        <v>0.207547169811321</v>
      </c>
      <c r="C32" s="36">
        <f>10/64</f>
        <v>0.15625</v>
      </c>
      <c r="D32" s="36">
        <f>4/112</f>
        <v>0.0357142857142857</v>
      </c>
      <c r="E32" s="54">
        <f>4/27</f>
        <v>0.148148148148148</v>
      </c>
      <c r="F32" s="35">
        <f>1/23</f>
        <v>0.0434782608695652</v>
      </c>
      <c r="G32" s="36"/>
      <c r="H32" s="36"/>
      <c r="I32" s="54"/>
      <c r="J32" s="35"/>
      <c r="K32" s="61"/>
      <c r="L32" s="61">
        <f>0/17</f>
        <v>0</v>
      </c>
      <c r="M32" s="54"/>
      <c r="N32" s="36"/>
      <c r="O32" s="36"/>
      <c r="P32" s="36">
        <f>0/10</f>
        <v>0</v>
      </c>
      <c r="Q32" s="54"/>
    </row>
    <row r="33" ht="14.5" spans="1:17">
      <c r="A33" s="31" t="s">
        <v>475</v>
      </c>
      <c r="B33" s="37">
        <f>1/48</f>
        <v>0.0208333333333333</v>
      </c>
      <c r="C33" s="38">
        <f>1/47</f>
        <v>0.0212765957446809</v>
      </c>
      <c r="D33" s="38">
        <f>4/27</f>
        <v>0.148148148148148</v>
      </c>
      <c r="E33" s="55">
        <f>0/118</f>
        <v>0</v>
      </c>
      <c r="F33" s="37">
        <f>0/19</f>
        <v>0</v>
      </c>
      <c r="G33" s="38">
        <f>0/12</f>
        <v>0</v>
      </c>
      <c r="H33" s="38">
        <f>4/24</f>
        <v>0.166666666666667</v>
      </c>
      <c r="I33" s="55">
        <f>0/22</f>
        <v>0</v>
      </c>
      <c r="J33" s="37">
        <f>0/(6+8)</f>
        <v>0</v>
      </c>
      <c r="K33" s="38">
        <f>1/11</f>
        <v>0.0909090909090909</v>
      </c>
      <c r="L33" s="38">
        <f>0/20</f>
        <v>0</v>
      </c>
      <c r="M33" s="55">
        <f>1/16</f>
        <v>0.0625</v>
      </c>
      <c r="N33" s="38"/>
      <c r="O33" s="38"/>
      <c r="P33" s="38"/>
      <c r="Q33" s="55"/>
    </row>
    <row r="34" ht="14.5" spans="1:17">
      <c r="A34" s="32" t="s">
        <v>128</v>
      </c>
      <c r="B34" s="33">
        <f>1/27</f>
        <v>0.037037037037037</v>
      </c>
      <c r="C34" s="34">
        <f>4/16</f>
        <v>0.25</v>
      </c>
      <c r="D34" s="34"/>
      <c r="E34" s="53">
        <f>1/22</f>
        <v>0.0454545454545455</v>
      </c>
      <c r="F34" s="33">
        <f>17/236</f>
        <v>0.0720338983050847</v>
      </c>
      <c r="G34" s="34">
        <f>4/33</f>
        <v>0.121212121212121</v>
      </c>
      <c r="H34" s="34">
        <f>0/13</f>
        <v>0</v>
      </c>
      <c r="I34" s="53">
        <f>0/14</f>
        <v>0</v>
      </c>
      <c r="J34" s="33"/>
      <c r="K34" s="34">
        <f>3/13</f>
        <v>0.230769230769231</v>
      </c>
      <c r="L34" s="34">
        <f>0/20</f>
        <v>0</v>
      </c>
      <c r="M34" s="53">
        <f>0/16</f>
        <v>0</v>
      </c>
      <c r="N34" s="34"/>
      <c r="O34" s="34"/>
      <c r="P34" s="34"/>
      <c r="Q34" s="53"/>
    </row>
    <row r="35" ht="14.5" spans="1:17">
      <c r="A35" s="31" t="s">
        <v>473</v>
      </c>
      <c r="B35" s="35">
        <f>7/16</f>
        <v>0.4375</v>
      </c>
      <c r="C35" s="36">
        <f>4/19</f>
        <v>0.210526315789474</v>
      </c>
      <c r="D35" s="36"/>
      <c r="E35" s="54">
        <f>0/10</f>
        <v>0</v>
      </c>
      <c r="F35" s="35">
        <f>7/34</f>
        <v>0.205882352941176</v>
      </c>
      <c r="G35" s="36">
        <f>26/55</f>
        <v>0.472727272727273</v>
      </c>
      <c r="H35" s="36">
        <f>0/2</f>
        <v>0</v>
      </c>
      <c r="I35" s="54">
        <f>0/15</f>
        <v>0</v>
      </c>
      <c r="J35" s="35">
        <f>(2+2)/(9+13)</f>
        <v>0.181818181818182</v>
      </c>
      <c r="K35" s="61">
        <f>5/28</f>
        <v>0.178571428571429</v>
      </c>
      <c r="L35" s="61"/>
      <c r="M35" s="54"/>
      <c r="N35" s="36"/>
      <c r="O35" s="36"/>
      <c r="P35" s="36"/>
      <c r="Q35" s="54"/>
    </row>
    <row r="36" ht="14.5" spans="1:17">
      <c r="A36" s="31" t="s">
        <v>474</v>
      </c>
      <c r="B36" s="35">
        <f>3/11</f>
        <v>0.272727272727273</v>
      </c>
      <c r="C36" s="36"/>
      <c r="D36" s="36"/>
      <c r="E36" s="54">
        <f>4/24</f>
        <v>0.166666666666667</v>
      </c>
      <c r="F36" s="35">
        <f>4/13</f>
        <v>0.307692307692308</v>
      </c>
      <c r="G36" s="36">
        <f>0/2</f>
        <v>0</v>
      </c>
      <c r="H36" s="36">
        <f>0/39</f>
        <v>0</v>
      </c>
      <c r="I36" s="54">
        <f>5/18</f>
        <v>0.277777777777778</v>
      </c>
      <c r="J36" s="35">
        <f>0/(7+4)</f>
        <v>0</v>
      </c>
      <c r="K36" s="61"/>
      <c r="L36" s="61">
        <f>1/34</f>
        <v>0.0294117647058824</v>
      </c>
      <c r="M36" s="54"/>
      <c r="N36" s="36"/>
      <c r="O36" s="36"/>
      <c r="P36" s="36"/>
      <c r="Q36" s="54"/>
    </row>
    <row r="37" ht="14.5" spans="1:17">
      <c r="A37" s="31" t="s">
        <v>475</v>
      </c>
      <c r="B37" s="37"/>
      <c r="C37" s="38"/>
      <c r="D37" s="38"/>
      <c r="E37" s="55">
        <f>1/24</f>
        <v>0.0416666666666667</v>
      </c>
      <c r="F37" s="37">
        <f>0/14</f>
        <v>0</v>
      </c>
      <c r="G37" s="38">
        <f>0/15</f>
        <v>0</v>
      </c>
      <c r="H37" s="38">
        <f>3/19</f>
        <v>0.157894736842105</v>
      </c>
      <c r="I37" s="55">
        <f>1/55</f>
        <v>0.0181818181818182</v>
      </c>
      <c r="J37" s="37">
        <f>0/(16+35)</f>
        <v>0</v>
      </c>
      <c r="K37" s="38">
        <f>0/12</f>
        <v>0</v>
      </c>
      <c r="L37" s="38">
        <f>2/15</f>
        <v>0.133333333333333</v>
      </c>
      <c r="M37" s="55">
        <f>3/38</f>
        <v>0.0789473684210526</v>
      </c>
      <c r="N37" s="38"/>
      <c r="O37" s="38"/>
      <c r="P37" s="38"/>
      <c r="Q37" s="55"/>
    </row>
    <row r="38" ht="14.5" spans="1:17">
      <c r="A38" s="32" t="s">
        <v>128</v>
      </c>
      <c r="B38" s="33">
        <f>0/(8+14)</f>
        <v>0</v>
      </c>
      <c r="C38" s="34">
        <f>1/(8+20)</f>
        <v>0.0357142857142857</v>
      </c>
      <c r="D38" s="34"/>
      <c r="E38" s="53">
        <f>0/(8+11)</f>
        <v>0</v>
      </c>
      <c r="F38" s="33"/>
      <c r="G38" s="34">
        <f>0/(9+15)</f>
        <v>0</v>
      </c>
      <c r="H38" s="34">
        <f>1/(7+6)</f>
        <v>0.0769230769230769</v>
      </c>
      <c r="I38" s="53">
        <f>0/(20+38)</f>
        <v>0</v>
      </c>
      <c r="J38" s="33"/>
      <c r="K38" s="34">
        <f>(4+3)/(36+38)</f>
        <v>0.0945945945945946</v>
      </c>
      <c r="L38" s="34">
        <f>(4+7)/(47+48)</f>
        <v>0.115789473684211</v>
      </c>
      <c r="M38" s="53">
        <f>1/(17+36)</f>
        <v>0.0188679245283019</v>
      </c>
      <c r="N38" s="34"/>
      <c r="O38" s="34"/>
      <c r="P38" s="34"/>
      <c r="Q38" s="53"/>
    </row>
    <row r="39" ht="14.5" spans="1:17">
      <c r="A39" s="31" t="s">
        <v>473</v>
      </c>
      <c r="B39" s="35"/>
      <c r="C39" s="36">
        <f>1/17</f>
        <v>0.0588235294117647</v>
      </c>
      <c r="D39" s="36"/>
      <c r="E39" s="54">
        <f>0/13</f>
        <v>0</v>
      </c>
      <c r="F39" s="35">
        <f>3/12</f>
        <v>0.25</v>
      </c>
      <c r="G39" s="36">
        <f>6/25</f>
        <v>0.24</v>
      </c>
      <c r="H39" s="36"/>
      <c r="I39" s="54">
        <f>1/15</f>
        <v>0.0666666666666667</v>
      </c>
      <c r="J39" s="35">
        <f>(8+2)/(38+34)</f>
        <v>0.138888888888889</v>
      </c>
      <c r="K39" s="61">
        <f>27/126</f>
        <v>0.214285714285714</v>
      </c>
      <c r="L39" s="61">
        <f>5/58</f>
        <v>0.0862068965517241</v>
      </c>
      <c r="M39" s="54">
        <f>0/20</f>
        <v>0</v>
      </c>
      <c r="N39" s="36">
        <f>0/12</f>
        <v>0</v>
      </c>
      <c r="O39" s="36">
        <f>3/31</f>
        <v>0.0967741935483871</v>
      </c>
      <c r="P39" s="36">
        <f>0/13</f>
        <v>0</v>
      </c>
      <c r="Q39" s="54"/>
    </row>
    <row r="40" ht="14.5" spans="1:17">
      <c r="A40" s="31" t="s">
        <v>474</v>
      </c>
      <c r="B40" s="35">
        <f>1/15</f>
        <v>0.0666666666666667</v>
      </c>
      <c r="C40" s="36"/>
      <c r="D40" s="36">
        <f>0/14</f>
        <v>0</v>
      </c>
      <c r="E40" s="54">
        <f>3/18</f>
        <v>0.166666666666667</v>
      </c>
      <c r="F40" s="35">
        <f>1/19</f>
        <v>0.0526315789473684</v>
      </c>
      <c r="G40" s="36"/>
      <c r="H40" s="36">
        <f>1/33</f>
        <v>0.0303030303030303</v>
      </c>
      <c r="I40" s="54">
        <f>1/16</f>
        <v>0.0625</v>
      </c>
      <c r="J40" s="35">
        <f>(13+3)/(46+37)</f>
        <v>0.192771084337349</v>
      </c>
      <c r="K40" s="61">
        <f>6/56</f>
        <v>0.107142857142857</v>
      </c>
      <c r="L40" s="61">
        <f>14/281</f>
        <v>0.0498220640569395</v>
      </c>
      <c r="M40" s="54">
        <f>2/61</f>
        <v>0.0327868852459016</v>
      </c>
      <c r="N40" s="36"/>
      <c r="O40" s="36">
        <f>3/29</f>
        <v>0.103448275862069</v>
      </c>
      <c r="P40" s="36">
        <f>2/49</f>
        <v>0.0408163265306122</v>
      </c>
      <c r="Q40" s="54">
        <f>0/16</f>
        <v>0</v>
      </c>
    </row>
    <row r="41" ht="14.5" spans="1:17">
      <c r="A41" s="31" t="s">
        <v>475</v>
      </c>
      <c r="B41" s="37"/>
      <c r="C41" s="38"/>
      <c r="D41" s="38"/>
      <c r="E41" s="55">
        <f>0/14</f>
        <v>0</v>
      </c>
      <c r="F41" s="37">
        <f>0/13</f>
        <v>0</v>
      </c>
      <c r="G41" s="38"/>
      <c r="H41" s="38"/>
      <c r="I41" s="55">
        <f>0/39</f>
        <v>0</v>
      </c>
      <c r="J41" s="37">
        <f>0/(14+33)</f>
        <v>0</v>
      </c>
      <c r="K41" s="38">
        <f>0/18</f>
        <v>0</v>
      </c>
      <c r="L41" s="38">
        <f>2/55</f>
        <v>0.0363636363636364</v>
      </c>
      <c r="M41" s="55">
        <f>2/60</f>
        <v>0.0333333333333333</v>
      </c>
      <c r="N41" s="38">
        <f>0/16</f>
        <v>0</v>
      </c>
      <c r="O41" s="38"/>
      <c r="P41" s="38">
        <f>1/19</f>
        <v>0.0526315789473684</v>
      </c>
      <c r="Q41" s="55">
        <f>0/19</f>
        <v>0</v>
      </c>
    </row>
    <row r="42" ht="14.5" spans="1:17">
      <c r="A42" s="32" t="s">
        <v>128</v>
      </c>
      <c r="B42" s="33">
        <f>0/14</f>
        <v>0</v>
      </c>
      <c r="C42" s="34">
        <f>0/11</f>
        <v>0</v>
      </c>
      <c r="D42" s="34"/>
      <c r="E42" s="53"/>
      <c r="F42" s="33"/>
      <c r="G42" s="34"/>
      <c r="H42" s="34"/>
      <c r="I42" s="53"/>
      <c r="J42" s="33"/>
      <c r="K42" s="34">
        <f>0/12</f>
        <v>0</v>
      </c>
      <c r="L42" s="34"/>
      <c r="M42" s="53">
        <f>0/15</f>
        <v>0</v>
      </c>
      <c r="N42" s="34"/>
      <c r="O42" s="34">
        <f>11/76</f>
        <v>0.144736842105263</v>
      </c>
      <c r="P42" s="34">
        <f>10/77</f>
        <v>0.12987012987013</v>
      </c>
      <c r="Q42" s="53">
        <f>0/67</f>
        <v>0</v>
      </c>
    </row>
    <row r="43" ht="14.5" spans="1:17">
      <c r="A43" s="31" t="s">
        <v>473</v>
      </c>
      <c r="B43" s="35">
        <f>0/12</f>
        <v>0</v>
      </c>
      <c r="C43" s="36"/>
      <c r="D43" s="36"/>
      <c r="E43" s="54"/>
      <c r="F43" s="35"/>
      <c r="G43" s="36"/>
      <c r="H43" s="36"/>
      <c r="I43" s="54"/>
      <c r="J43" s="35"/>
      <c r="K43" s="61">
        <f>3/30</f>
        <v>0.1</v>
      </c>
      <c r="L43" s="61">
        <f>1/28</f>
        <v>0.0357142857142857</v>
      </c>
      <c r="M43" s="54"/>
      <c r="N43" s="36">
        <f>16/69</f>
        <v>0.231884057971014</v>
      </c>
      <c r="O43" s="36">
        <f>41/118</f>
        <v>0.347457627118644</v>
      </c>
      <c r="P43" s="36">
        <f>1/82</f>
        <v>0.0121951219512195</v>
      </c>
      <c r="Q43" s="54">
        <f>2/48</f>
        <v>0.0416666666666667</v>
      </c>
    </row>
    <row r="44" ht="14.5" spans="1:17">
      <c r="A44" s="31" t="s">
        <v>474</v>
      </c>
      <c r="B44" s="35"/>
      <c r="C44" s="36"/>
      <c r="D44" s="36"/>
      <c r="E44" s="54"/>
      <c r="F44" s="35"/>
      <c r="G44" s="36"/>
      <c r="H44" s="36"/>
      <c r="I44" s="54"/>
      <c r="J44" s="35"/>
      <c r="K44" s="61">
        <f>2/13</f>
        <v>0.153846153846154</v>
      </c>
      <c r="L44" s="61">
        <f>0/47</f>
        <v>0</v>
      </c>
      <c r="M44" s="54">
        <f>0/14</f>
        <v>0</v>
      </c>
      <c r="N44" s="36">
        <f>3/68</f>
        <v>0.0441176470588235</v>
      </c>
      <c r="O44" s="36">
        <f>10/81</f>
        <v>0.123456790123457</v>
      </c>
      <c r="P44" s="36">
        <f>11/242</f>
        <v>0.0454545454545455</v>
      </c>
      <c r="Q44" s="54">
        <f>6/46</f>
        <v>0.130434782608696</v>
      </c>
    </row>
    <row r="45" ht="14.5" spans="1:17">
      <c r="A45" s="31" t="s">
        <v>475</v>
      </c>
      <c r="B45" s="37"/>
      <c r="C45" s="38"/>
      <c r="D45" s="38"/>
      <c r="E45" s="55"/>
      <c r="F45" s="37"/>
      <c r="G45" s="38"/>
      <c r="H45" s="38"/>
      <c r="I45" s="55"/>
      <c r="J45" s="37"/>
      <c r="K45" s="38"/>
      <c r="L45" s="38">
        <f>0/16</f>
        <v>0</v>
      </c>
      <c r="M45" s="55">
        <f>0/17</f>
        <v>0</v>
      </c>
      <c r="N45" s="38">
        <f>0/62</f>
        <v>0</v>
      </c>
      <c r="O45" s="38">
        <f>0/47</f>
        <v>0</v>
      </c>
      <c r="P45" s="38">
        <f>4/52</f>
        <v>0.0769230769230769</v>
      </c>
      <c r="Q45" s="55">
        <f>0/79</f>
        <v>0</v>
      </c>
    </row>
    <row r="46" ht="14.5" spans="1:17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ht="14.5" spans="1:1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</row>
    <row r="48" ht="14.5" spans="1:17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</row>
    <row r="49" ht="14.5" spans="1:17">
      <c r="A49" s="32" t="s">
        <v>128</v>
      </c>
      <c r="B49" s="31">
        <f>5/80</f>
        <v>0.0625</v>
      </c>
      <c r="C49" s="31">
        <f>17/49</f>
        <v>0.346938775510204</v>
      </c>
      <c r="D49" s="31">
        <f>11/53</f>
        <v>0.207547169811321</v>
      </c>
      <c r="E49" s="31">
        <f>1/48</f>
        <v>0.0208333333333333</v>
      </c>
      <c r="F49" s="31">
        <f>1/27</f>
        <v>0.037037037037037</v>
      </c>
      <c r="G49" s="31">
        <f>7/16</f>
        <v>0.4375</v>
      </c>
      <c r="H49" s="31">
        <f>3/11</f>
        <v>0.272727272727273</v>
      </c>
      <c r="I49" s="31"/>
      <c r="J49" s="31">
        <f>0/(8+14)</f>
        <v>0</v>
      </c>
      <c r="K49" s="31"/>
      <c r="L49" s="31">
        <f>1/15</f>
        <v>0.0666666666666667</v>
      </c>
      <c r="M49" s="31"/>
      <c r="N49" s="31">
        <f>0/14</f>
        <v>0</v>
      </c>
      <c r="O49" s="31">
        <f>0/12</f>
        <v>0</v>
      </c>
      <c r="P49" s="31"/>
      <c r="Q49" s="31"/>
    </row>
    <row r="50" ht="14.5" spans="1:17">
      <c r="A50" s="31" t="s">
        <v>473</v>
      </c>
      <c r="B50" s="31">
        <f>19/50</f>
        <v>0.38</v>
      </c>
      <c r="C50" s="31">
        <f>36/97</f>
        <v>0.371134020618557</v>
      </c>
      <c r="D50" s="31">
        <f>10/64</f>
        <v>0.15625</v>
      </c>
      <c r="E50" s="31">
        <f>1/47</f>
        <v>0.0212765957446809</v>
      </c>
      <c r="F50" s="31">
        <f>4/16</f>
        <v>0.25</v>
      </c>
      <c r="G50" s="31">
        <f>4/19</f>
        <v>0.210526315789474</v>
      </c>
      <c r="H50" s="31"/>
      <c r="I50" s="31"/>
      <c r="J50" s="31">
        <f>1/(8+20)</f>
        <v>0.0357142857142857</v>
      </c>
      <c r="K50" s="31">
        <f>1/17</f>
        <v>0.0588235294117647</v>
      </c>
      <c r="L50" s="31"/>
      <c r="M50" s="31"/>
      <c r="N50" s="31">
        <f>0/11</f>
        <v>0</v>
      </c>
      <c r="O50" s="31"/>
      <c r="P50" s="31"/>
      <c r="Q50" s="31"/>
    </row>
    <row r="51" ht="14.5" spans="1:17">
      <c r="A51" s="31" t="s">
        <v>474</v>
      </c>
      <c r="B51" s="31">
        <f>16/59</f>
        <v>0.271186440677966</v>
      </c>
      <c r="C51" s="31">
        <f>5/68</f>
        <v>0.0735294117647059</v>
      </c>
      <c r="D51" s="31">
        <f>4/112</f>
        <v>0.0357142857142857</v>
      </c>
      <c r="E51" s="31">
        <f>4/27</f>
        <v>0.148148148148148</v>
      </c>
      <c r="F51" s="31"/>
      <c r="G51" s="31"/>
      <c r="H51" s="31"/>
      <c r="I51" s="31"/>
      <c r="J51" s="31"/>
      <c r="K51" s="31"/>
      <c r="L51" s="31">
        <f>0/14</f>
        <v>0</v>
      </c>
      <c r="M51" s="31"/>
      <c r="N51" s="31"/>
      <c r="O51" s="31"/>
      <c r="P51" s="31"/>
      <c r="Q51" s="31"/>
    </row>
    <row r="52" ht="14.5" spans="1:17">
      <c r="A52" s="31" t="s">
        <v>475</v>
      </c>
      <c r="B52" s="31">
        <f>9/51</f>
        <v>0.176470588235294</v>
      </c>
      <c r="C52" s="31">
        <f>0/47</f>
        <v>0</v>
      </c>
      <c r="D52" s="31">
        <f>4/27</f>
        <v>0.148148148148148</v>
      </c>
      <c r="E52" s="31">
        <f>0/118</f>
        <v>0</v>
      </c>
      <c r="F52" s="31">
        <f>1/22</f>
        <v>0.0454545454545455</v>
      </c>
      <c r="G52" s="31">
        <f>0/10</f>
        <v>0</v>
      </c>
      <c r="H52" s="31">
        <f>4/24</f>
        <v>0.166666666666667</v>
      </c>
      <c r="I52" s="31">
        <f>1/24</f>
        <v>0.0416666666666667</v>
      </c>
      <c r="J52" s="31">
        <f>0/(8+11)</f>
        <v>0</v>
      </c>
      <c r="K52" s="31">
        <f>0/13</f>
        <v>0</v>
      </c>
      <c r="L52" s="31">
        <f>3/18</f>
        <v>0.166666666666667</v>
      </c>
      <c r="M52" s="31">
        <f>0/14</f>
        <v>0</v>
      </c>
      <c r="N52" s="31"/>
      <c r="O52" s="31"/>
      <c r="P52" s="31"/>
      <c r="Q52" s="31"/>
    </row>
    <row r="53" ht="14.5" spans="1:17">
      <c r="A53" s="32" t="s">
        <v>128</v>
      </c>
      <c r="B53" s="31">
        <f>1/29</f>
        <v>0.0344827586206897</v>
      </c>
      <c r="C53" s="31">
        <f>2/16</f>
        <v>0.125</v>
      </c>
      <c r="D53" s="31">
        <f>1/23</f>
        <v>0.0434782608695652</v>
      </c>
      <c r="E53" s="31">
        <f>0/19</f>
        <v>0</v>
      </c>
      <c r="F53" s="31">
        <f>17/236</f>
        <v>0.0720338983050847</v>
      </c>
      <c r="G53" s="31">
        <f>7/34</f>
        <v>0.205882352941176</v>
      </c>
      <c r="H53" s="31">
        <f>4/13</f>
        <v>0.307692307692308</v>
      </c>
      <c r="I53" s="31">
        <f>0/14</f>
        <v>0</v>
      </c>
      <c r="J53" s="31"/>
      <c r="K53" s="31">
        <f>3/12</f>
        <v>0.25</v>
      </c>
      <c r="L53" s="31">
        <f>1/19</f>
        <v>0.0526315789473684</v>
      </c>
      <c r="M53" s="31">
        <f>0/13</f>
        <v>0</v>
      </c>
      <c r="N53" s="31"/>
      <c r="O53" s="31"/>
      <c r="P53" s="31"/>
      <c r="Q53" s="31"/>
    </row>
    <row r="54" ht="14.5" spans="1:17">
      <c r="A54" s="31" t="s">
        <v>473</v>
      </c>
      <c r="B54" s="31">
        <f>5/16</f>
        <v>0.3125</v>
      </c>
      <c r="C54" s="31">
        <f>3/17</f>
        <v>0.176470588235294</v>
      </c>
      <c r="D54" s="31"/>
      <c r="E54" s="31">
        <f>0/12</f>
        <v>0</v>
      </c>
      <c r="F54" s="31">
        <f>4/33</f>
        <v>0.121212121212121</v>
      </c>
      <c r="G54" s="31">
        <f>26/55</f>
        <v>0.472727272727273</v>
      </c>
      <c r="H54" s="31">
        <f>0/2</f>
        <v>0</v>
      </c>
      <c r="I54" s="31">
        <f>0/15</f>
        <v>0</v>
      </c>
      <c r="J54" s="31">
        <f>0/(9+15)</f>
        <v>0</v>
      </c>
      <c r="K54" s="31">
        <f>6/25</f>
        <v>0.24</v>
      </c>
      <c r="L54" s="31"/>
      <c r="M54" s="31"/>
      <c r="N54" s="31"/>
      <c r="O54" s="31"/>
      <c r="P54" s="31"/>
      <c r="Q54" s="31"/>
    </row>
    <row r="55" ht="14.5" spans="1:17">
      <c r="A55" s="31" t="s">
        <v>474</v>
      </c>
      <c r="B55" s="31">
        <f>1/11</f>
        <v>0.0909090909090909</v>
      </c>
      <c r="C55" s="31"/>
      <c r="D55" s="31"/>
      <c r="E55" s="31">
        <f>4/24</f>
        <v>0.166666666666667</v>
      </c>
      <c r="F55" s="31">
        <f>0/13</f>
        <v>0</v>
      </c>
      <c r="G55" s="31">
        <f>0/2</f>
        <v>0</v>
      </c>
      <c r="H55" s="31">
        <f>0/39</f>
        <v>0</v>
      </c>
      <c r="I55" s="31">
        <f>3/19</f>
        <v>0.157894736842105</v>
      </c>
      <c r="J55" s="31">
        <f>1/(7+6)</f>
        <v>0.0769230769230769</v>
      </c>
      <c r="K55" s="31"/>
      <c r="L55" s="31">
        <f>1/33</f>
        <v>0.0303030303030303</v>
      </c>
      <c r="M55" s="31"/>
      <c r="N55" s="31"/>
      <c r="O55" s="31"/>
      <c r="P55" s="31"/>
      <c r="Q55" s="31"/>
    </row>
    <row r="56" ht="14.5" spans="1:17">
      <c r="A56" s="31" t="s">
        <v>475</v>
      </c>
      <c r="B56" s="31">
        <f>0/10</f>
        <v>0</v>
      </c>
      <c r="C56" s="31"/>
      <c r="D56" s="31"/>
      <c r="E56" s="31">
        <f>0/22</f>
        <v>0</v>
      </c>
      <c r="F56" s="31">
        <f>0/14</f>
        <v>0</v>
      </c>
      <c r="G56" s="31">
        <f>0/15</f>
        <v>0</v>
      </c>
      <c r="H56" s="31">
        <f>5/18</f>
        <v>0.277777777777778</v>
      </c>
      <c r="I56" s="31">
        <f>1/55</f>
        <v>0.0181818181818182</v>
      </c>
      <c r="J56" s="31">
        <f>0/(20+38)</f>
        <v>0</v>
      </c>
      <c r="K56" s="31">
        <f>1/15</f>
        <v>0.0666666666666667</v>
      </c>
      <c r="L56" s="31">
        <f>1/16</f>
        <v>0.0625</v>
      </c>
      <c r="M56" s="31">
        <f>0/39</f>
        <v>0</v>
      </c>
      <c r="N56" s="31"/>
      <c r="O56" s="31"/>
      <c r="P56" s="31"/>
      <c r="Q56" s="31"/>
    </row>
    <row r="57" ht="14.5" spans="1:17">
      <c r="A57" s="32" t="s">
        <v>128</v>
      </c>
      <c r="B57" s="31">
        <f>2/(10+13)</f>
        <v>0.0869565217391304</v>
      </c>
      <c r="C57" s="31">
        <f>1/(11+17)</f>
        <v>0.0357142857142857</v>
      </c>
      <c r="D57" s="31"/>
      <c r="E57" s="31">
        <f>0/(6+8)</f>
        <v>0</v>
      </c>
      <c r="F57" s="31"/>
      <c r="G57" s="31">
        <f>(2+2)/(9+13)</f>
        <v>0.181818181818182</v>
      </c>
      <c r="H57" s="31">
        <f>0/(7+4)</f>
        <v>0</v>
      </c>
      <c r="I57" s="31">
        <f>0/(16+35)</f>
        <v>0</v>
      </c>
      <c r="J57" s="31"/>
      <c r="K57" s="31">
        <f>(8+2)/(38+34)</f>
        <v>0.138888888888889</v>
      </c>
      <c r="L57" s="31">
        <f>(13+3)/(46+37)</f>
        <v>0.192771084337349</v>
      </c>
      <c r="M57" s="31">
        <f>0/(14+33)</f>
        <v>0</v>
      </c>
      <c r="N57" s="31"/>
      <c r="O57" s="31"/>
      <c r="P57" s="31"/>
      <c r="Q57" s="31"/>
    </row>
    <row r="58" ht="14.5" spans="1:17">
      <c r="A58" s="31" t="s">
        <v>473</v>
      </c>
      <c r="B58" s="31"/>
      <c r="C58" s="31">
        <f>2/16</f>
        <v>0.125</v>
      </c>
      <c r="D58" s="31"/>
      <c r="E58" s="31">
        <f>1/11</f>
        <v>0.0909090909090909</v>
      </c>
      <c r="F58" s="31">
        <f>3/13</f>
        <v>0.230769230769231</v>
      </c>
      <c r="G58" s="31">
        <f>5/28</f>
        <v>0.178571428571429</v>
      </c>
      <c r="H58" s="31"/>
      <c r="I58" s="31">
        <f>0/12</f>
        <v>0</v>
      </c>
      <c r="J58" s="31">
        <f>(4+3)/(36+38)</f>
        <v>0.0945945945945946</v>
      </c>
      <c r="K58" s="31">
        <f>27/126</f>
        <v>0.214285714285714</v>
      </c>
      <c r="L58" s="31">
        <f>6/56</f>
        <v>0.107142857142857</v>
      </c>
      <c r="M58" s="31">
        <f>0/18</f>
        <v>0</v>
      </c>
      <c r="N58" s="31">
        <f>0/12</f>
        <v>0</v>
      </c>
      <c r="O58" s="31">
        <f>3/30</f>
        <v>0.1</v>
      </c>
      <c r="P58" s="31">
        <f>2/13</f>
        <v>0.153846153846154</v>
      </c>
      <c r="Q58" s="31"/>
    </row>
    <row r="59" ht="14.5" spans="1:17">
      <c r="A59" s="31" t="s">
        <v>474</v>
      </c>
      <c r="B59" s="31">
        <f>0/17</f>
        <v>0</v>
      </c>
      <c r="C59" s="31"/>
      <c r="D59" s="31">
        <f>0/17</f>
        <v>0</v>
      </c>
      <c r="E59" s="31">
        <f>0/20</f>
        <v>0</v>
      </c>
      <c r="F59" s="31">
        <f>0/20</f>
        <v>0</v>
      </c>
      <c r="G59" s="31"/>
      <c r="H59" s="31">
        <f>1/34</f>
        <v>0.0294117647058824</v>
      </c>
      <c r="I59" s="31">
        <f>2/15</f>
        <v>0.133333333333333</v>
      </c>
      <c r="J59" s="31">
        <f>(4+7)/(47+48)</f>
        <v>0.115789473684211</v>
      </c>
      <c r="K59" s="31">
        <f>5/58</f>
        <v>0.0862068965517241</v>
      </c>
      <c r="L59" s="31">
        <f>14/281</f>
        <v>0.0498220640569395</v>
      </c>
      <c r="M59" s="31">
        <f>2/55</f>
        <v>0.0363636363636364</v>
      </c>
      <c r="N59" s="31"/>
      <c r="O59" s="31">
        <f>1/28</f>
        <v>0.0357142857142857</v>
      </c>
      <c r="P59" s="31">
        <f>0/47</f>
        <v>0</v>
      </c>
      <c r="Q59" s="31">
        <f>0/16</f>
        <v>0</v>
      </c>
    </row>
    <row r="60" ht="14.5" spans="1:17">
      <c r="A60" s="31" t="s">
        <v>475</v>
      </c>
      <c r="B60" s="31"/>
      <c r="C60" s="31"/>
      <c r="D60" s="31"/>
      <c r="E60" s="31">
        <f>1/16</f>
        <v>0.0625</v>
      </c>
      <c r="F60" s="31">
        <f>0/16</f>
        <v>0</v>
      </c>
      <c r="G60" s="31"/>
      <c r="H60" s="31"/>
      <c r="I60" s="31">
        <f>3/38</f>
        <v>0.0789473684210526</v>
      </c>
      <c r="J60" s="31">
        <f>1/(17+36)</f>
        <v>0.0188679245283019</v>
      </c>
      <c r="K60" s="31">
        <f>0/20</f>
        <v>0</v>
      </c>
      <c r="L60" s="31">
        <f>2/61</f>
        <v>0.0327868852459016</v>
      </c>
      <c r="M60" s="31">
        <f>2/60</f>
        <v>0.0333333333333333</v>
      </c>
      <c r="N60" s="31">
        <f>0/15</f>
        <v>0</v>
      </c>
      <c r="O60" s="31"/>
      <c r="P60" s="31">
        <f>0/14</f>
        <v>0</v>
      </c>
      <c r="Q60" s="31">
        <f>0/17</f>
        <v>0</v>
      </c>
    </row>
    <row r="61" ht="14.5" spans="1:17">
      <c r="A61" s="32" t="s">
        <v>128</v>
      </c>
      <c r="B61" s="31">
        <f>0/14</f>
        <v>0</v>
      </c>
      <c r="C61" s="31"/>
      <c r="D61" s="31"/>
      <c r="E61" s="31"/>
      <c r="F61" s="31"/>
      <c r="G61" s="31"/>
      <c r="H61" s="31"/>
      <c r="I61" s="31"/>
      <c r="J61" s="31"/>
      <c r="K61" s="31">
        <f>0/12</f>
        <v>0</v>
      </c>
      <c r="L61" s="31"/>
      <c r="M61" s="31">
        <f>0/16</f>
        <v>0</v>
      </c>
      <c r="N61" s="31"/>
      <c r="O61" s="31">
        <f>16/69</f>
        <v>0.231884057971014</v>
      </c>
      <c r="P61" s="31">
        <f>3/68</f>
        <v>0.0441176470588235</v>
      </c>
      <c r="Q61" s="31">
        <f>0/62</f>
        <v>0</v>
      </c>
    </row>
    <row r="62" ht="14.5" spans="1:17">
      <c r="A62" s="31" t="s">
        <v>473</v>
      </c>
      <c r="B62" s="31">
        <f>0/12</f>
        <v>0</v>
      </c>
      <c r="C62" s="31"/>
      <c r="D62" s="31"/>
      <c r="E62" s="31"/>
      <c r="F62" s="31"/>
      <c r="G62" s="31"/>
      <c r="H62" s="31"/>
      <c r="I62" s="31"/>
      <c r="J62" s="31"/>
      <c r="K62" s="31">
        <f>3/31</f>
        <v>0.0967741935483871</v>
      </c>
      <c r="L62" s="31">
        <f>3/29</f>
        <v>0.103448275862069</v>
      </c>
      <c r="M62" s="31"/>
      <c r="N62" s="31">
        <f>11/76</f>
        <v>0.144736842105263</v>
      </c>
      <c r="O62" s="31">
        <f>41/118</f>
        <v>0.347457627118644</v>
      </c>
      <c r="P62" s="31">
        <f>10/81</f>
        <v>0.123456790123457</v>
      </c>
      <c r="Q62" s="31">
        <f>0/47</f>
        <v>0</v>
      </c>
    </row>
    <row r="63" ht="14.5" spans="1:17">
      <c r="A63" s="31" t="s">
        <v>474</v>
      </c>
      <c r="B63" s="31"/>
      <c r="C63" s="31"/>
      <c r="D63" s="31">
        <f>0/10</f>
        <v>0</v>
      </c>
      <c r="E63" s="31"/>
      <c r="F63" s="31"/>
      <c r="G63" s="31"/>
      <c r="H63" s="31"/>
      <c r="I63" s="31"/>
      <c r="J63" s="31"/>
      <c r="K63" s="31">
        <f>0/13</f>
        <v>0</v>
      </c>
      <c r="L63" s="31">
        <f>2/49</f>
        <v>0.0408163265306122</v>
      </c>
      <c r="M63" s="31">
        <f>1/19</f>
        <v>0.0526315789473684</v>
      </c>
      <c r="N63" s="31">
        <f>10/77</f>
        <v>0.12987012987013</v>
      </c>
      <c r="O63" s="31">
        <f>1/82</f>
        <v>0.0121951219512195</v>
      </c>
      <c r="P63" s="31">
        <f>11/242</f>
        <v>0.0454545454545455</v>
      </c>
      <c r="Q63" s="31">
        <f>4/52</f>
        <v>0.0769230769230769</v>
      </c>
    </row>
    <row r="64" ht="14.5" spans="1:17">
      <c r="A64" s="31" t="s">
        <v>475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>
        <f>0/16</f>
        <v>0</v>
      </c>
      <c r="M64" s="31">
        <f>0/19</f>
        <v>0</v>
      </c>
      <c r="N64" s="31">
        <f>0/67</f>
        <v>0</v>
      </c>
      <c r="O64" s="31">
        <f>2/48</f>
        <v>0.0416666666666667</v>
      </c>
      <c r="P64" s="31">
        <f>6/46</f>
        <v>0.130434782608696</v>
      </c>
      <c r="Q64" s="31">
        <f>0/79</f>
        <v>0</v>
      </c>
    </row>
    <row r="66" ht="14.25" spans="1:15">
      <c r="A66" s="77" t="s">
        <v>476</v>
      </c>
      <c r="B66" s="77" t="s">
        <v>477</v>
      </c>
      <c r="C66" s="78"/>
      <c r="D66" s="78"/>
      <c r="E66" s="78"/>
      <c r="F66" s="90"/>
      <c r="G66" s="78"/>
      <c r="H66" s="78"/>
      <c r="I66" s="78"/>
      <c r="J66" s="78"/>
      <c r="K66" s="78"/>
      <c r="L66" s="78"/>
      <c r="M66" s="122"/>
      <c r="N66" s="122"/>
      <c r="O66" s="122"/>
    </row>
    <row r="67" spans="1:15">
      <c r="A67" s="79"/>
      <c r="B67" s="80"/>
      <c r="C67" s="81" t="s">
        <v>478</v>
      </c>
      <c r="D67" s="81"/>
      <c r="E67" s="81"/>
      <c r="F67" s="81"/>
      <c r="G67" s="81" t="s">
        <v>479</v>
      </c>
      <c r="H67" s="81"/>
      <c r="I67" s="81"/>
      <c r="J67" s="81" t="s">
        <v>480</v>
      </c>
      <c r="K67" s="81"/>
      <c r="L67" s="81"/>
      <c r="M67" s="123" t="s">
        <v>481</v>
      </c>
      <c r="N67" s="123"/>
      <c r="O67" s="123"/>
    </row>
    <row r="68" ht="14.25" spans="1:15">
      <c r="A68" s="82"/>
      <c r="B68" s="83"/>
      <c r="C68" s="83" t="s">
        <v>128</v>
      </c>
      <c r="D68" s="83" t="s">
        <v>4</v>
      </c>
      <c r="E68" s="83" t="s">
        <v>5</v>
      </c>
      <c r="F68" s="83" t="s">
        <v>6</v>
      </c>
      <c r="G68" s="83" t="s">
        <v>128</v>
      </c>
      <c r="H68" s="83" t="s">
        <v>4</v>
      </c>
      <c r="I68" s="83" t="s">
        <v>5</v>
      </c>
      <c r="J68" s="83" t="s">
        <v>128</v>
      </c>
      <c r="K68" s="83" t="s">
        <v>4</v>
      </c>
      <c r="L68" s="83" t="s">
        <v>5</v>
      </c>
      <c r="M68" s="83" t="s">
        <v>128</v>
      </c>
      <c r="N68" s="83" t="s">
        <v>4</v>
      </c>
      <c r="O68" s="124" t="s">
        <v>5</v>
      </c>
    </row>
    <row r="69" ht="14.25" spans="1:15">
      <c r="A69" s="84" t="s">
        <v>482</v>
      </c>
      <c r="B69" s="81" t="s">
        <v>128</v>
      </c>
      <c r="C69" s="85"/>
      <c r="D69" s="86">
        <f>17/49</f>
        <v>0.346938775510204</v>
      </c>
      <c r="E69" s="86">
        <f>11/53</f>
        <v>0.207547169811321</v>
      </c>
      <c r="F69" s="106">
        <f>1/48</f>
        <v>0.0208333333333333</v>
      </c>
      <c r="G69" s="107"/>
      <c r="H69" s="108">
        <f>7/16</f>
        <v>0.4375</v>
      </c>
      <c r="I69" s="107">
        <f>3/11</f>
        <v>0.272727272727273</v>
      </c>
      <c r="J69" s="85"/>
      <c r="K69" s="107"/>
      <c r="L69" s="108">
        <f>1/15</f>
        <v>0.0666666666666667</v>
      </c>
      <c r="M69" s="85"/>
      <c r="N69" s="108">
        <f>0/12</f>
        <v>0</v>
      </c>
      <c r="O69" s="125"/>
    </row>
    <row r="70" ht="14.25" spans="1:15">
      <c r="A70" s="84"/>
      <c r="B70" s="87" t="s">
        <v>4</v>
      </c>
      <c r="C70" s="88">
        <f>19/50</f>
        <v>0.38</v>
      </c>
      <c r="D70" s="89">
        <f>36/97</f>
        <v>0.371134020618557</v>
      </c>
      <c r="E70" s="90">
        <f>10/64</f>
        <v>0.15625</v>
      </c>
      <c r="F70" s="109">
        <f>1/47</f>
        <v>0.0212765957446809</v>
      </c>
      <c r="G70" s="89">
        <f>4/16</f>
        <v>0.25</v>
      </c>
      <c r="H70" s="89">
        <f>4/19</f>
        <v>0.210526315789474</v>
      </c>
      <c r="I70" s="110"/>
      <c r="J70" s="95">
        <f>1/(8+20)</f>
        <v>0.0357142857142857</v>
      </c>
      <c r="K70" s="89">
        <f>1/17</f>
        <v>0.0588235294117647</v>
      </c>
      <c r="L70" s="110"/>
      <c r="M70" s="95">
        <f>0/11</f>
        <v>0</v>
      </c>
      <c r="N70" s="110"/>
      <c r="O70" s="126"/>
    </row>
    <row r="71" ht="14.25" spans="1:15">
      <c r="A71" s="84"/>
      <c r="B71" s="87" t="s">
        <v>5</v>
      </c>
      <c r="C71" s="88">
        <f>16/59</f>
        <v>0.271186440677966</v>
      </c>
      <c r="D71" s="90">
        <f>5/68</f>
        <v>0.0735294117647059</v>
      </c>
      <c r="E71" s="89">
        <f>4/112</f>
        <v>0.0357142857142857</v>
      </c>
      <c r="F71" s="109">
        <f>4/27</f>
        <v>0.148148148148148</v>
      </c>
      <c r="G71" s="110"/>
      <c r="H71" s="110"/>
      <c r="I71" s="110"/>
      <c r="J71" s="94"/>
      <c r="K71" s="110"/>
      <c r="L71" s="89">
        <f>0/14</f>
        <v>0</v>
      </c>
      <c r="M71" s="94"/>
      <c r="N71" s="110"/>
      <c r="O71" s="126"/>
    </row>
    <row r="72" spans="1:15">
      <c r="A72" s="84"/>
      <c r="B72" s="87" t="s">
        <v>6</v>
      </c>
      <c r="C72" s="91">
        <f>9/51</f>
        <v>0.176470588235294</v>
      </c>
      <c r="D72" s="92">
        <f>0/47</f>
        <v>0</v>
      </c>
      <c r="E72" s="92">
        <f>4/27</f>
        <v>0.148148148148148</v>
      </c>
      <c r="F72" s="111">
        <f>0/118</f>
        <v>0</v>
      </c>
      <c r="G72" s="92">
        <f>1/22</f>
        <v>0.0454545454545455</v>
      </c>
      <c r="H72" s="92">
        <f>0/10</f>
        <v>0</v>
      </c>
      <c r="I72" s="92">
        <f>4/24</f>
        <v>0.166666666666667</v>
      </c>
      <c r="J72" s="91">
        <f>0/(8+11)</f>
        <v>0</v>
      </c>
      <c r="K72" s="92">
        <f>0/13</f>
        <v>0</v>
      </c>
      <c r="L72" s="92">
        <f>3/18</f>
        <v>0.166666666666667</v>
      </c>
      <c r="M72" s="127"/>
      <c r="N72" s="128"/>
      <c r="O72" s="129"/>
    </row>
    <row r="73" spans="1:15">
      <c r="A73" s="93" t="s">
        <v>483</v>
      </c>
      <c r="B73" s="87" t="s">
        <v>128</v>
      </c>
      <c r="C73" s="94"/>
      <c r="D73" s="89">
        <f>2/16</f>
        <v>0.125</v>
      </c>
      <c r="E73" s="110">
        <f>1/23</f>
        <v>0.0434782608695652</v>
      </c>
      <c r="F73" s="109">
        <f>0/19</f>
        <v>0</v>
      </c>
      <c r="G73" s="99"/>
      <c r="H73" s="100">
        <f>7/34</f>
        <v>0.205882352941176</v>
      </c>
      <c r="I73" s="100">
        <f>4/13</f>
        <v>0.307692307692308</v>
      </c>
      <c r="J73" s="114"/>
      <c r="K73" s="97">
        <f>3/12</f>
        <v>0.25</v>
      </c>
      <c r="L73" s="97">
        <f>1/19</f>
        <v>0.0526315789473684</v>
      </c>
      <c r="M73" s="96"/>
      <c r="N73" s="112"/>
      <c r="O73" s="130"/>
    </row>
    <row r="74" spans="1:15">
      <c r="A74" s="93"/>
      <c r="B74" s="87" t="s">
        <v>4</v>
      </c>
      <c r="C74" s="95">
        <f>5/16</f>
        <v>0.3125</v>
      </c>
      <c r="D74" s="89">
        <f>3/17</f>
        <v>0.176470588235294</v>
      </c>
      <c r="E74" s="110"/>
      <c r="F74" s="109">
        <f>0/12</f>
        <v>0</v>
      </c>
      <c r="G74" s="88">
        <f>4/33</f>
        <v>0.121212121212121</v>
      </c>
      <c r="H74" s="90">
        <f>26/55</f>
        <v>0.472727272727273</v>
      </c>
      <c r="I74" s="90">
        <f>0/2</f>
        <v>0</v>
      </c>
      <c r="J74" s="95">
        <f>0/(9+15)</f>
        <v>0</v>
      </c>
      <c r="K74" s="89">
        <f>6/25</f>
        <v>0.24</v>
      </c>
      <c r="L74" s="89"/>
      <c r="M74" s="94"/>
      <c r="N74" s="110"/>
      <c r="O74" s="126"/>
    </row>
    <row r="75" spans="1:15">
      <c r="A75" s="93"/>
      <c r="B75" s="87" t="s">
        <v>5</v>
      </c>
      <c r="C75" s="95">
        <f>1/11</f>
        <v>0.0909090909090909</v>
      </c>
      <c r="D75" s="89"/>
      <c r="E75" s="110"/>
      <c r="F75" s="109">
        <f>4/24</f>
        <v>0.166666666666667</v>
      </c>
      <c r="G75" s="88">
        <f>0/13</f>
        <v>0</v>
      </c>
      <c r="H75" s="90">
        <f>0/2</f>
        <v>0</v>
      </c>
      <c r="I75" s="90">
        <f>0/39</f>
        <v>0</v>
      </c>
      <c r="J75" s="95">
        <f>1/(7+6)</f>
        <v>0.0769230769230769</v>
      </c>
      <c r="K75" s="89"/>
      <c r="L75" s="89">
        <f>1/33</f>
        <v>0.0303030303030303</v>
      </c>
      <c r="M75" s="94"/>
      <c r="N75" s="110"/>
      <c r="O75" s="126"/>
    </row>
    <row r="76" spans="1:15">
      <c r="A76" s="93" t="s">
        <v>484</v>
      </c>
      <c r="B76" s="87" t="s">
        <v>128</v>
      </c>
      <c r="C76" s="96"/>
      <c r="D76" s="97">
        <f>1/(11+17)</f>
        <v>0.0357142857142857</v>
      </c>
      <c r="E76" s="112"/>
      <c r="F76" s="113">
        <f>0/(6+8)</f>
        <v>0</v>
      </c>
      <c r="G76" s="114"/>
      <c r="H76" s="97">
        <f>(2+2)/(9+13)</f>
        <v>0.181818181818182</v>
      </c>
      <c r="I76" s="97">
        <f>0/(7+4)</f>
        <v>0</v>
      </c>
      <c r="J76" s="96"/>
      <c r="K76" s="97">
        <f>(8+2)/(38+34)</f>
        <v>0.138888888888889</v>
      </c>
      <c r="L76" s="113">
        <f>(13+3)/(46+37)</f>
        <v>0.192771084337349</v>
      </c>
      <c r="M76" s="96"/>
      <c r="N76" s="112"/>
      <c r="O76" s="130"/>
    </row>
    <row r="77" spans="1:15">
      <c r="A77" s="93"/>
      <c r="B77" s="87" t="s">
        <v>4</v>
      </c>
      <c r="C77" s="94"/>
      <c r="D77" s="89">
        <f>2/16</f>
        <v>0.125</v>
      </c>
      <c r="E77" s="110"/>
      <c r="F77" s="109">
        <f>1/11</f>
        <v>0.0909090909090909</v>
      </c>
      <c r="G77" s="95">
        <f>3/13</f>
        <v>0.230769230769231</v>
      </c>
      <c r="H77" s="89">
        <f>5/28</f>
        <v>0.178571428571429</v>
      </c>
      <c r="I77" s="89"/>
      <c r="J77" s="95">
        <f>(4+3)/(36+38)</f>
        <v>0.0945945945945946</v>
      </c>
      <c r="K77" s="89">
        <f>27/126</f>
        <v>0.214285714285714</v>
      </c>
      <c r="L77" s="109">
        <f>6/56</f>
        <v>0.107142857142857</v>
      </c>
      <c r="M77" s="95">
        <f>0/12</f>
        <v>0</v>
      </c>
      <c r="N77" s="89">
        <f>3/30</f>
        <v>0.1</v>
      </c>
      <c r="O77" s="131">
        <f>2/13</f>
        <v>0.153846153846154</v>
      </c>
    </row>
    <row r="78" spans="1:15">
      <c r="A78" s="93"/>
      <c r="B78" s="87" t="s">
        <v>5</v>
      </c>
      <c r="C78" s="88">
        <f>0/17</f>
        <v>0</v>
      </c>
      <c r="D78" s="90"/>
      <c r="E78" s="115">
        <f>0/17</f>
        <v>0</v>
      </c>
      <c r="F78" s="109">
        <f>0/20</f>
        <v>0</v>
      </c>
      <c r="G78" s="95">
        <f>0/20</f>
        <v>0</v>
      </c>
      <c r="H78" s="89"/>
      <c r="I78" s="89">
        <f>1/34</f>
        <v>0.0294117647058824</v>
      </c>
      <c r="J78" s="91">
        <f>(4+7)/(47+48)</f>
        <v>0.115789473684211</v>
      </c>
      <c r="K78" s="92">
        <f>5/58</f>
        <v>0.0862068965517241</v>
      </c>
      <c r="L78" s="111">
        <f>14/281</f>
        <v>0.0498220640569395</v>
      </c>
      <c r="M78" s="95"/>
      <c r="N78" s="89">
        <f>1/28</f>
        <v>0.0357142857142857</v>
      </c>
      <c r="O78" s="131">
        <f>0/47</f>
        <v>0</v>
      </c>
    </row>
    <row r="79" ht="14.25" spans="1:15">
      <c r="A79" s="98" t="s">
        <v>485</v>
      </c>
      <c r="B79" s="87" t="s">
        <v>128</v>
      </c>
      <c r="C79" s="99"/>
      <c r="D79" s="100"/>
      <c r="E79" s="100"/>
      <c r="F79" s="116"/>
      <c r="G79" s="96"/>
      <c r="H79" s="112"/>
      <c r="I79" s="116"/>
      <c r="J79" s="89"/>
      <c r="K79" s="89">
        <f>0/12</f>
        <v>0</v>
      </c>
      <c r="L79" s="89"/>
      <c r="M79" s="96"/>
      <c r="N79" s="97">
        <f>16/69</f>
        <v>0.231884057971014</v>
      </c>
      <c r="O79" s="132">
        <f>3/68</f>
        <v>0.0441176470588235</v>
      </c>
    </row>
    <row r="80" ht="14.25" spans="1:15">
      <c r="A80" s="98"/>
      <c r="B80" s="87" t="s">
        <v>4</v>
      </c>
      <c r="C80" s="88">
        <f>0/12</f>
        <v>0</v>
      </c>
      <c r="D80" s="90"/>
      <c r="E80" s="90"/>
      <c r="F80" s="117"/>
      <c r="G80" s="94"/>
      <c r="H80" s="110"/>
      <c r="I80" s="117"/>
      <c r="J80" s="89"/>
      <c r="K80" s="89">
        <f>3/31</f>
        <v>0.0967741935483871</v>
      </c>
      <c r="L80" s="89">
        <f>3/29</f>
        <v>0.103448275862069</v>
      </c>
      <c r="M80" s="95">
        <f>11/76</f>
        <v>0.144736842105263</v>
      </c>
      <c r="N80" s="89">
        <f>41/118</f>
        <v>0.347457627118644</v>
      </c>
      <c r="O80" s="131">
        <f>10/81</f>
        <v>0.123456790123457</v>
      </c>
    </row>
    <row r="81" ht="14.25" spans="1:15">
      <c r="A81" s="98"/>
      <c r="B81" s="101" t="s">
        <v>5</v>
      </c>
      <c r="C81" s="102"/>
      <c r="D81" s="103"/>
      <c r="E81" s="103">
        <f>0/10</f>
        <v>0</v>
      </c>
      <c r="F81" s="118"/>
      <c r="G81" s="119"/>
      <c r="H81" s="120"/>
      <c r="I81" s="118"/>
      <c r="J81" s="121"/>
      <c r="K81" s="121">
        <f>0/13</f>
        <v>0</v>
      </c>
      <c r="L81" s="121">
        <f>2/49</f>
        <v>0.0408163265306122</v>
      </c>
      <c r="M81" s="133">
        <f>10/77</f>
        <v>0.12987012987013</v>
      </c>
      <c r="N81" s="121">
        <f>1/82</f>
        <v>0.0121951219512195</v>
      </c>
      <c r="O81" s="134">
        <f>11/242</f>
        <v>0.0454545454545455</v>
      </c>
    </row>
    <row r="82" spans="1:15">
      <c r="A82" s="77"/>
      <c r="B82" s="77"/>
      <c r="C82" s="78"/>
      <c r="D82" s="78"/>
      <c r="E82" s="78"/>
      <c r="F82" s="90"/>
      <c r="G82" s="78"/>
      <c r="H82" s="78"/>
      <c r="I82" s="78"/>
      <c r="J82" s="78"/>
      <c r="K82" s="78"/>
      <c r="L82" s="78"/>
      <c r="M82" s="122"/>
      <c r="N82" s="122"/>
      <c r="O82" s="122"/>
    </row>
    <row r="83" spans="1:1">
      <c r="A83" s="104" t="s">
        <v>6</v>
      </c>
    </row>
    <row r="84" spans="1:1">
      <c r="A84" s="105" t="s">
        <v>486</v>
      </c>
    </row>
    <row r="85" spans="1:1">
      <c r="A85" s="105" t="s">
        <v>487</v>
      </c>
    </row>
    <row r="86" spans="1:1">
      <c r="A86" s="105" t="s">
        <v>488</v>
      </c>
    </row>
    <row r="87" spans="1:1">
      <c r="A87" s="105" t="s">
        <v>489</v>
      </c>
    </row>
    <row r="88" spans="1:1">
      <c r="A88" s="104"/>
    </row>
  </sheetData>
  <mergeCells count="16">
    <mergeCell ref="C1:F1"/>
    <mergeCell ref="G1:J1"/>
    <mergeCell ref="K1:N1"/>
    <mergeCell ref="O1:R1"/>
    <mergeCell ref="C67:F67"/>
    <mergeCell ref="G67:I67"/>
    <mergeCell ref="J67:L67"/>
    <mergeCell ref="M67:O67"/>
    <mergeCell ref="A3:A6"/>
    <mergeCell ref="A7:A10"/>
    <mergeCell ref="A11:A14"/>
    <mergeCell ref="A15:A18"/>
    <mergeCell ref="A69:A72"/>
    <mergeCell ref="A73:A75"/>
    <mergeCell ref="A76:A78"/>
    <mergeCell ref="A79:A81"/>
  </mergeCells>
  <conditionalFormatting sqref="B30:Q45">
    <cfRule type="cellIs" dxfId="0" priority="2" operator="greaterThan">
      <formula>0.05</formula>
    </cfRule>
    <cfRule type="cellIs" dxfId="1" priority="1" operator="greaterThan">
      <formula>0.05</formula>
    </cfRule>
  </conditionalFormatting>
  <hyperlinks>
    <hyperlink ref="A84" r:id="rId4" display="https://www.frontiersin.org/articles/10.3389/fnana.2016.00124/full"/>
    <hyperlink ref="A85" r:id="rId5" display="https://onlinelibrary.wiley.com/doi/abs/10.1002/(SICI)1096-9861(19960401)367:2%3C194::AID-CNE3%3E3.0.CO;2-0"/>
    <hyperlink ref="A86" r:id="rId6" display="https://onlinelibrary.wiley.com/doi/abs/10.1111/j.1460-9568.1997.tb01644.x"/>
    <hyperlink ref="A87" r:id="rId7" display="https://onlinelibrary.wiley.com/doi/abs/10.1046/j.1460-9568.2002.02048.x"/>
  </hyperlinks>
  <pageMargins left="0.75" right="0.75" top="1" bottom="1" header="0.5" footer="0.5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Z105"/>
  <sheetViews>
    <sheetView zoomScale="85" zoomScaleNormal="85" workbookViewId="0">
      <pane xSplit="1" ySplit="2" topLeftCell="N5" activePane="bottomRight" state="frozen"/>
      <selection/>
      <selection pane="topRight"/>
      <selection pane="bottomLeft"/>
      <selection pane="bottomRight" activeCell="R8" sqref="R8"/>
    </sheetView>
  </sheetViews>
  <sheetFormatPr defaultColWidth="9" defaultRowHeight="13.5"/>
  <cols>
    <col min="1" max="1" width="12.4181818181818" style="104" customWidth="1"/>
    <col min="2" max="2" width="15.8" style="104" customWidth="1"/>
    <col min="3" max="3" width="11.6" style="104" customWidth="1"/>
    <col min="4" max="4" width="11.3" style="104" customWidth="1"/>
    <col min="5" max="5" width="11.7" style="104" customWidth="1"/>
    <col min="6" max="6" width="10.8" style="104" customWidth="1"/>
    <col min="7" max="7" width="10.2" style="104" customWidth="1"/>
    <col min="8" max="8" width="10.9" style="104" customWidth="1"/>
    <col min="9" max="9" width="9.3" style="104" customWidth="1"/>
    <col min="10" max="10" width="9.6" style="104" customWidth="1"/>
    <col min="11" max="11" width="9.7" style="104" customWidth="1"/>
    <col min="12" max="12" width="10.1" style="104" customWidth="1"/>
    <col min="13" max="13" width="11.1" style="104" customWidth="1"/>
    <col min="14" max="14" width="10" style="104" customWidth="1"/>
    <col min="15" max="15" width="9.1" style="104" customWidth="1"/>
    <col min="16" max="16" width="8.5" style="104" customWidth="1"/>
    <col min="17" max="17" width="27.1" style="104" customWidth="1"/>
    <col min="18" max="18" width="84.7" style="104" customWidth="1"/>
    <col min="19" max="987" width="8.5" style="104" customWidth="1"/>
    <col min="988" max="1020" width="8.5" customWidth="1"/>
    <col min="1021" max="1022" width="10.9" customWidth="1"/>
  </cols>
  <sheetData>
    <row r="1" spans="1:15">
      <c r="A1" s="79"/>
      <c r="B1" s="80"/>
      <c r="C1" s="81" t="s">
        <v>25</v>
      </c>
      <c r="D1" s="81"/>
      <c r="E1" s="81"/>
      <c r="F1" s="81"/>
      <c r="G1" s="81" t="s">
        <v>10</v>
      </c>
      <c r="H1" s="81"/>
      <c r="I1" s="81"/>
      <c r="J1" s="81" t="s">
        <v>11</v>
      </c>
      <c r="K1" s="81"/>
      <c r="L1" s="81"/>
      <c r="M1" s="123" t="s">
        <v>12</v>
      </c>
      <c r="N1" s="123"/>
      <c r="O1" s="123"/>
    </row>
    <row r="2" ht="14.25" spans="1:988">
      <c r="A2" s="246"/>
      <c r="B2" s="247"/>
      <c r="C2" s="247" t="s">
        <v>18</v>
      </c>
      <c r="D2" s="247" t="s">
        <v>4</v>
      </c>
      <c r="E2" s="247" t="s">
        <v>5</v>
      </c>
      <c r="F2" s="247" t="s">
        <v>6</v>
      </c>
      <c r="G2" s="247" t="s">
        <v>18</v>
      </c>
      <c r="H2" s="247" t="s">
        <v>4</v>
      </c>
      <c r="I2" s="247" t="s">
        <v>5</v>
      </c>
      <c r="J2" s="247" t="s">
        <v>18</v>
      </c>
      <c r="K2" s="247" t="s">
        <v>4</v>
      </c>
      <c r="L2" s="247" t="s">
        <v>5</v>
      </c>
      <c r="M2" s="247" t="s">
        <v>18</v>
      </c>
      <c r="N2" s="247" t="s">
        <v>4</v>
      </c>
      <c r="O2" s="340" t="s">
        <v>5</v>
      </c>
      <c r="Q2" s="104" t="s">
        <v>28</v>
      </c>
      <c r="R2" s="104" t="s">
        <v>29</v>
      </c>
      <c r="S2" s="104" t="s">
        <v>30</v>
      </c>
      <c r="AKZ2" s="104"/>
    </row>
    <row r="3" ht="67.5" spans="1:988">
      <c r="A3" s="84" t="s">
        <v>25</v>
      </c>
      <c r="B3" s="81" t="s">
        <v>18</v>
      </c>
      <c r="C3" s="248" t="s">
        <v>31</v>
      </c>
      <c r="D3" s="249" t="s">
        <v>32</v>
      </c>
      <c r="E3" s="288" t="s">
        <v>33</v>
      </c>
      <c r="F3" s="289" t="s">
        <v>34</v>
      </c>
      <c r="G3" s="290" t="s">
        <v>35</v>
      </c>
      <c r="H3" s="249" t="s">
        <v>36</v>
      </c>
      <c r="I3" s="290"/>
      <c r="J3" s="248" t="s">
        <v>37</v>
      </c>
      <c r="K3" s="318" t="s">
        <v>38</v>
      </c>
      <c r="L3" s="318" t="s">
        <v>39</v>
      </c>
      <c r="M3" s="248" t="s">
        <v>40</v>
      </c>
      <c r="N3" s="290"/>
      <c r="O3" s="341"/>
      <c r="Q3" s="104" t="s">
        <v>41</v>
      </c>
      <c r="R3" s="365" t="s">
        <v>42</v>
      </c>
      <c r="S3" s="104" t="s">
        <v>43</v>
      </c>
      <c r="AKZ3" s="104"/>
    </row>
    <row r="4" ht="40.5" spans="1:988">
      <c r="A4" s="93"/>
      <c r="B4" s="87" t="s">
        <v>4</v>
      </c>
      <c r="C4" s="250" t="s">
        <v>44</v>
      </c>
      <c r="D4" s="251" t="s">
        <v>45</v>
      </c>
      <c r="E4" s="256" t="s">
        <v>46</v>
      </c>
      <c r="F4" s="291" t="s">
        <v>47</v>
      </c>
      <c r="G4" s="259" t="s">
        <v>48</v>
      </c>
      <c r="H4" s="256"/>
      <c r="I4" s="256"/>
      <c r="J4" s="319" t="s">
        <v>49</v>
      </c>
      <c r="K4" s="251" t="s">
        <v>50</v>
      </c>
      <c r="L4" s="251" t="s">
        <v>51</v>
      </c>
      <c r="M4" s="250"/>
      <c r="N4" s="256"/>
      <c r="O4" s="342"/>
      <c r="Q4" s="104" t="s">
        <v>52</v>
      </c>
      <c r="R4" s="365" t="s">
        <v>53</v>
      </c>
      <c r="S4" s="104" t="s">
        <v>54</v>
      </c>
      <c r="AKZ4" s="104"/>
    </row>
    <row r="5" ht="54" spans="1:988">
      <c r="A5" s="93"/>
      <c r="B5" s="87" t="s">
        <v>5</v>
      </c>
      <c r="C5" s="250" t="s">
        <v>55</v>
      </c>
      <c r="D5" s="251" t="s">
        <v>56</v>
      </c>
      <c r="E5" s="292" t="s">
        <v>57</v>
      </c>
      <c r="F5" s="293" t="s">
        <v>58</v>
      </c>
      <c r="G5" s="256"/>
      <c r="H5" s="256"/>
      <c r="I5" s="256"/>
      <c r="J5" s="319"/>
      <c r="K5" s="251" t="s">
        <v>59</v>
      </c>
      <c r="L5" s="251"/>
      <c r="M5" s="250"/>
      <c r="N5" s="256"/>
      <c r="O5" s="342"/>
      <c r="Q5" s="104" t="s">
        <v>60</v>
      </c>
      <c r="R5" s="366" t="s">
        <v>61</v>
      </c>
      <c r="S5" s="104" t="s">
        <v>62</v>
      </c>
      <c r="AKZ5" s="104"/>
    </row>
    <row r="6" ht="27" spans="1:988">
      <c r="A6" s="93"/>
      <c r="B6" s="87" t="s">
        <v>6</v>
      </c>
      <c r="C6" s="252" t="s">
        <v>63</v>
      </c>
      <c r="D6" s="253" t="s">
        <v>64</v>
      </c>
      <c r="E6" s="253" t="s">
        <v>65</v>
      </c>
      <c r="F6" s="294" t="s">
        <v>66</v>
      </c>
      <c r="G6" s="256"/>
      <c r="H6" s="256"/>
      <c r="I6" s="256"/>
      <c r="J6" s="320"/>
      <c r="K6" s="254"/>
      <c r="L6" s="254"/>
      <c r="M6" s="343"/>
      <c r="N6" s="344"/>
      <c r="O6" s="345"/>
      <c r="Q6" s="104" t="s">
        <v>67</v>
      </c>
      <c r="R6" s="367" t="s">
        <v>68</v>
      </c>
      <c r="S6" s="104" t="s">
        <v>69</v>
      </c>
      <c r="AKZ6" s="104"/>
    </row>
    <row r="7" ht="81" spans="1:988">
      <c r="A7" s="93" t="s">
        <v>10</v>
      </c>
      <c r="B7" s="87" t="s">
        <v>18</v>
      </c>
      <c r="C7" s="250" t="s">
        <v>70</v>
      </c>
      <c r="D7" s="254"/>
      <c r="E7" s="256"/>
      <c r="F7" s="295"/>
      <c r="G7" s="257" t="s">
        <v>71</v>
      </c>
      <c r="H7" s="260" t="s">
        <v>72</v>
      </c>
      <c r="I7" s="260" t="s">
        <v>73</v>
      </c>
      <c r="J7" s="257" t="s">
        <v>74</v>
      </c>
      <c r="K7" s="260"/>
      <c r="L7" s="260"/>
      <c r="M7" s="257" t="s">
        <v>75</v>
      </c>
      <c r="N7" s="260"/>
      <c r="O7" s="346"/>
      <c r="Q7" s="104" t="s">
        <v>76</v>
      </c>
      <c r="R7" s="104" t="s">
        <v>77</v>
      </c>
      <c r="S7" s="104" t="s">
        <v>78</v>
      </c>
      <c r="AKZ7" s="104"/>
    </row>
    <row r="8" ht="67.5" spans="1:988">
      <c r="A8" s="93"/>
      <c r="B8" s="87" t="s">
        <v>4</v>
      </c>
      <c r="C8" s="255" t="s">
        <v>79</v>
      </c>
      <c r="D8" s="256"/>
      <c r="E8" s="256"/>
      <c r="F8" s="295"/>
      <c r="G8" s="250"/>
      <c r="H8" s="256" t="s">
        <v>80</v>
      </c>
      <c r="I8" s="256" t="s">
        <v>81</v>
      </c>
      <c r="J8" s="250"/>
      <c r="K8" s="256"/>
      <c r="L8" s="256"/>
      <c r="M8" s="250"/>
      <c r="N8" s="256"/>
      <c r="O8" s="342"/>
      <c r="Q8" s="104" t="s">
        <v>82</v>
      </c>
      <c r="R8" s="365" t="s">
        <v>83</v>
      </c>
      <c r="AKZ8" s="104"/>
    </row>
    <row r="9" ht="54" spans="1:988">
      <c r="A9" s="93"/>
      <c r="B9" s="87" t="s">
        <v>5</v>
      </c>
      <c r="C9" s="250"/>
      <c r="D9" s="256"/>
      <c r="E9" s="256"/>
      <c r="F9" s="295"/>
      <c r="G9" s="296" t="s">
        <v>84</v>
      </c>
      <c r="H9" s="256" t="s">
        <v>85</v>
      </c>
      <c r="I9" s="256" t="s">
        <v>86</v>
      </c>
      <c r="J9" s="250"/>
      <c r="K9" s="256"/>
      <c r="L9" s="256"/>
      <c r="M9" s="250"/>
      <c r="N9" s="256"/>
      <c r="O9" s="342"/>
      <c r="Q9" s="104" t="s">
        <v>87</v>
      </c>
      <c r="R9" s="366" t="s">
        <v>88</v>
      </c>
      <c r="S9" s="104" t="s">
        <v>89</v>
      </c>
      <c r="AKZ9" s="104"/>
    </row>
    <row r="10" ht="67.5" spans="1:988">
      <c r="A10" s="93" t="s">
        <v>11</v>
      </c>
      <c r="B10" s="87" t="s">
        <v>18</v>
      </c>
      <c r="C10" s="257" t="s">
        <v>90</v>
      </c>
      <c r="D10" s="258" t="s">
        <v>91</v>
      </c>
      <c r="E10" s="258" t="s">
        <v>92</v>
      </c>
      <c r="F10" s="297"/>
      <c r="G10" s="257" t="s">
        <v>93</v>
      </c>
      <c r="H10" s="260"/>
      <c r="I10" s="260"/>
      <c r="J10" s="257" t="s">
        <v>94</v>
      </c>
      <c r="K10" s="258" t="s">
        <v>95</v>
      </c>
      <c r="L10" s="321" t="s">
        <v>96</v>
      </c>
      <c r="M10" s="257" t="s">
        <v>97</v>
      </c>
      <c r="N10" s="260"/>
      <c r="O10" s="346"/>
      <c r="Q10" s="104" t="s">
        <v>98</v>
      </c>
      <c r="R10" s="365" t="s">
        <v>99</v>
      </c>
      <c r="S10" s="104" t="s">
        <v>100</v>
      </c>
      <c r="AKZ10" s="104"/>
    </row>
    <row r="11" ht="27" spans="1:988">
      <c r="A11" s="93"/>
      <c r="B11" s="87" t="s">
        <v>4</v>
      </c>
      <c r="C11" s="255" t="s">
        <v>101</v>
      </c>
      <c r="D11" s="259" t="s">
        <v>102</v>
      </c>
      <c r="E11" s="259" t="s">
        <v>103</v>
      </c>
      <c r="F11" s="298"/>
      <c r="G11" s="250"/>
      <c r="H11" s="256"/>
      <c r="I11" s="256"/>
      <c r="J11" s="255" t="s">
        <v>104</v>
      </c>
      <c r="K11" s="259" t="s">
        <v>105</v>
      </c>
      <c r="L11" s="322" t="s">
        <v>106</v>
      </c>
      <c r="M11" s="250"/>
      <c r="N11" s="256"/>
      <c r="O11" s="342"/>
      <c r="Q11" s="104" t="s">
        <v>107</v>
      </c>
      <c r="R11" s="366" t="s">
        <v>108</v>
      </c>
      <c r="S11" s="104" t="s">
        <v>69</v>
      </c>
      <c r="AKZ11" s="104"/>
    </row>
    <row r="12" ht="27" spans="1:988">
      <c r="A12" s="93"/>
      <c r="B12" s="87" t="s">
        <v>5</v>
      </c>
      <c r="C12" s="255" t="s">
        <v>109</v>
      </c>
      <c r="D12" s="259" t="s">
        <v>110</v>
      </c>
      <c r="E12" s="259"/>
      <c r="F12" s="299"/>
      <c r="G12" s="250"/>
      <c r="H12" s="256"/>
      <c r="I12" s="256"/>
      <c r="J12" s="323" t="s">
        <v>111</v>
      </c>
      <c r="K12" s="324" t="s">
        <v>112</v>
      </c>
      <c r="L12" s="325"/>
      <c r="M12" s="250"/>
      <c r="N12" s="256"/>
      <c r="O12" s="342"/>
      <c r="Q12" s="104" t="s">
        <v>113</v>
      </c>
      <c r="R12" s="366" t="s">
        <v>114</v>
      </c>
      <c r="AKZ12" s="104"/>
    </row>
    <row r="13" ht="54.75" spans="1:988">
      <c r="A13" s="98" t="s">
        <v>12</v>
      </c>
      <c r="B13" s="87" t="s">
        <v>18</v>
      </c>
      <c r="C13" s="257" t="s">
        <v>115</v>
      </c>
      <c r="D13" s="260"/>
      <c r="E13" s="260"/>
      <c r="F13" s="300"/>
      <c r="G13" s="257" t="s">
        <v>116</v>
      </c>
      <c r="H13" s="260"/>
      <c r="I13" s="300"/>
      <c r="J13" s="256" t="s">
        <v>117</v>
      </c>
      <c r="K13" s="256"/>
      <c r="L13" s="256"/>
      <c r="M13" s="257" t="s">
        <v>118</v>
      </c>
      <c r="N13" s="260"/>
      <c r="O13" s="346"/>
      <c r="Q13" s="104" t="s">
        <v>119</v>
      </c>
      <c r="R13" s="366" t="s">
        <v>120</v>
      </c>
      <c r="AKZ13" s="104"/>
    </row>
    <row r="14" ht="27.75" spans="1:988">
      <c r="A14" s="98"/>
      <c r="B14" s="87" t="s">
        <v>4</v>
      </c>
      <c r="C14" s="250"/>
      <c r="D14" s="256"/>
      <c r="E14" s="256"/>
      <c r="F14" s="295"/>
      <c r="G14" s="250"/>
      <c r="H14" s="256"/>
      <c r="I14" s="295"/>
      <c r="J14" s="256"/>
      <c r="K14" s="256"/>
      <c r="L14" s="256"/>
      <c r="M14" s="250"/>
      <c r="N14" s="256"/>
      <c r="O14" s="342"/>
      <c r="Q14" s="104" t="s">
        <v>121</v>
      </c>
      <c r="R14" s="367" t="s">
        <v>122</v>
      </c>
      <c r="S14" s="104" t="s">
        <v>123</v>
      </c>
      <c r="AKZ14" s="104"/>
    </row>
    <row r="15" ht="27.75" spans="1:988">
      <c r="A15" s="98"/>
      <c r="B15" s="101" t="s">
        <v>5</v>
      </c>
      <c r="C15" s="261"/>
      <c r="D15" s="262"/>
      <c r="E15" s="262"/>
      <c r="F15" s="301"/>
      <c r="G15" s="261"/>
      <c r="H15" s="262"/>
      <c r="I15" s="301"/>
      <c r="J15" s="262"/>
      <c r="K15" s="262"/>
      <c r="L15" s="262"/>
      <c r="M15" s="261"/>
      <c r="N15" s="262"/>
      <c r="O15" s="347"/>
      <c r="Q15" s="104" t="s">
        <v>124</v>
      </c>
      <c r="R15" s="366" t="s">
        <v>125</v>
      </c>
      <c r="S15" s="104" t="s">
        <v>69</v>
      </c>
      <c r="AKZ15" s="104"/>
    </row>
    <row r="16" ht="61" customHeight="1" spans="1:988">
      <c r="A16" s="263">
        <v>43952</v>
      </c>
      <c r="B16" s="77"/>
      <c r="C16" s="264"/>
      <c r="D16" s="264"/>
      <c r="E16" s="264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Q16" s="104" t="s">
        <v>126</v>
      </c>
      <c r="R16" s="366" t="s">
        <v>127</v>
      </c>
      <c r="AKZ16" s="104"/>
    </row>
    <row r="17" spans="1:15">
      <c r="A17" s="79"/>
      <c r="B17" s="80"/>
      <c r="C17" s="81" t="s">
        <v>25</v>
      </c>
      <c r="D17" s="81"/>
      <c r="E17" s="81"/>
      <c r="F17" s="81"/>
      <c r="G17" s="81" t="s">
        <v>10</v>
      </c>
      <c r="H17" s="81"/>
      <c r="I17" s="81"/>
      <c r="J17" s="81" t="s">
        <v>11</v>
      </c>
      <c r="K17" s="81"/>
      <c r="L17" s="81"/>
      <c r="M17" s="123" t="s">
        <v>12</v>
      </c>
      <c r="N17" s="123"/>
      <c r="O17" s="123"/>
    </row>
    <row r="18" ht="14.25" spans="1:988">
      <c r="A18" s="82"/>
      <c r="B18" s="83"/>
      <c r="C18" s="83" t="s">
        <v>128</v>
      </c>
      <c r="D18" s="83" t="s">
        <v>4</v>
      </c>
      <c r="E18" s="83" t="s">
        <v>5</v>
      </c>
      <c r="F18" s="83" t="s">
        <v>6</v>
      </c>
      <c r="G18" s="83" t="s">
        <v>128</v>
      </c>
      <c r="H18" s="83" t="s">
        <v>4</v>
      </c>
      <c r="I18" s="83" t="s">
        <v>5</v>
      </c>
      <c r="J18" s="83" t="s">
        <v>128</v>
      </c>
      <c r="K18" s="83" t="s">
        <v>4</v>
      </c>
      <c r="L18" s="83" t="s">
        <v>5</v>
      </c>
      <c r="M18" s="83" t="s">
        <v>128</v>
      </c>
      <c r="N18" s="83" t="s">
        <v>4</v>
      </c>
      <c r="O18" s="124" t="s">
        <v>5</v>
      </c>
      <c r="AKZ18" s="104"/>
    </row>
    <row r="19" ht="14.25" spans="1:15">
      <c r="A19" s="84" t="s">
        <v>25</v>
      </c>
      <c r="B19" s="81" t="s">
        <v>128</v>
      </c>
      <c r="C19" s="265">
        <f>(88+10+22+96)/(950+183+182+513)</f>
        <v>0.118161925601751</v>
      </c>
      <c r="D19" s="266">
        <v>0.43</v>
      </c>
      <c r="E19" s="302">
        <f>35/56</f>
        <v>0.625</v>
      </c>
      <c r="F19" s="303"/>
      <c r="G19" s="86">
        <f>(25+25)/(208+172)</f>
        <v>0.131578947368421</v>
      </c>
      <c r="H19" s="86"/>
      <c r="I19" s="86"/>
      <c r="J19" s="326">
        <f>(9+2+1+3)/(209+89+104+167)</f>
        <v>0.0263620386643234</v>
      </c>
      <c r="K19" s="266">
        <f>7/69</f>
        <v>0.101449275362319</v>
      </c>
      <c r="L19" s="266">
        <f>21/100</f>
        <v>0.21</v>
      </c>
      <c r="M19" s="265">
        <v>0</v>
      </c>
      <c r="N19" s="86"/>
      <c r="O19" s="348"/>
    </row>
    <row r="20" ht="14.25" spans="1:15">
      <c r="A20" s="84"/>
      <c r="B20" s="87" t="s">
        <v>4</v>
      </c>
      <c r="C20" s="88">
        <v>0.51</v>
      </c>
      <c r="D20" s="267">
        <f>168/359</f>
        <v>0.467966573816156</v>
      </c>
      <c r="E20" s="90">
        <f>9/31</f>
        <v>0.290322580645161</v>
      </c>
      <c r="F20" s="304"/>
      <c r="G20" s="90"/>
      <c r="H20" s="90"/>
      <c r="I20" s="90"/>
      <c r="J20" s="275">
        <f>5/173</f>
        <v>0.0289017341040462</v>
      </c>
      <c r="K20" s="267">
        <f>24/110</f>
        <v>0.218181818181818</v>
      </c>
      <c r="L20" s="267">
        <f>31/123</f>
        <v>0.252032520325203</v>
      </c>
      <c r="M20" s="88"/>
      <c r="N20" s="90"/>
      <c r="O20" s="349"/>
    </row>
    <row r="21" ht="14.25" spans="1:15">
      <c r="A21" s="84"/>
      <c r="B21" s="87" t="s">
        <v>5</v>
      </c>
      <c r="C21" s="88">
        <v>0.31</v>
      </c>
      <c r="D21" s="268">
        <f>12/21</f>
        <v>0.571428571428571</v>
      </c>
      <c r="E21" s="89">
        <f>4/112</f>
        <v>0.0357142857142857</v>
      </c>
      <c r="F21" s="305">
        <f>11/31</f>
        <v>0.354838709677419</v>
      </c>
      <c r="G21" s="90"/>
      <c r="H21" s="90"/>
      <c r="I21" s="90"/>
      <c r="J21" s="275"/>
      <c r="K21" s="267">
        <f>1/40</f>
        <v>0.025</v>
      </c>
      <c r="L21" s="267"/>
      <c r="M21" s="88"/>
      <c r="N21" s="90"/>
      <c r="O21" s="349"/>
    </row>
    <row r="22" spans="1:15">
      <c r="A22" s="84"/>
      <c r="B22" s="87" t="s">
        <v>6</v>
      </c>
      <c r="C22" s="269"/>
      <c r="D22" s="270"/>
      <c r="E22" s="270"/>
      <c r="F22" s="306"/>
      <c r="G22" s="307"/>
      <c r="H22" s="307"/>
      <c r="I22" s="307"/>
      <c r="J22" s="327"/>
      <c r="K22" s="307"/>
      <c r="L22" s="328"/>
      <c r="M22" s="327"/>
      <c r="N22" s="307"/>
      <c r="O22" s="350"/>
    </row>
    <row r="23" spans="1:15">
      <c r="A23" s="93" t="s">
        <v>10</v>
      </c>
      <c r="B23" s="87" t="s">
        <v>128</v>
      </c>
      <c r="C23" s="271">
        <f>(2+4)/(208+170)</f>
        <v>0.0158730158730159</v>
      </c>
      <c r="D23" s="272"/>
      <c r="E23" s="90"/>
      <c r="F23" s="305"/>
      <c r="G23" s="99">
        <f>254/1046</f>
        <v>0.24282982791587</v>
      </c>
      <c r="H23" s="100">
        <v>0.63</v>
      </c>
      <c r="I23" s="100">
        <v>0.38</v>
      </c>
      <c r="J23" s="276">
        <f>(2+1)/(275+137)</f>
        <v>0.00728155339805825</v>
      </c>
      <c r="K23" s="100"/>
      <c r="L23" s="100"/>
      <c r="M23" s="99">
        <v>0</v>
      </c>
      <c r="N23" s="100"/>
      <c r="O23" s="351"/>
    </row>
    <row r="24" spans="1:15">
      <c r="A24" s="93"/>
      <c r="B24" s="87" t="s">
        <v>4</v>
      </c>
      <c r="C24" s="273"/>
      <c r="D24" s="90"/>
      <c r="E24" s="90"/>
      <c r="F24" s="305"/>
      <c r="G24" s="88">
        <v>0.129</v>
      </c>
      <c r="H24" s="90">
        <v>0.48</v>
      </c>
      <c r="I24" s="90">
        <v>0.56</v>
      </c>
      <c r="J24" s="88"/>
      <c r="K24" s="90"/>
      <c r="L24" s="90"/>
      <c r="M24" s="88"/>
      <c r="N24" s="90"/>
      <c r="O24" s="349"/>
    </row>
    <row r="25" spans="1:15">
      <c r="A25" s="93"/>
      <c r="B25" s="87" t="s">
        <v>5</v>
      </c>
      <c r="C25" s="88"/>
      <c r="D25" s="90"/>
      <c r="E25" s="90"/>
      <c r="F25" s="305"/>
      <c r="G25" s="88">
        <f>8/64</f>
        <v>0.125</v>
      </c>
      <c r="H25" s="90">
        <v>0.61</v>
      </c>
      <c r="I25" s="90">
        <f>2/52</f>
        <v>0.0384615384615385</v>
      </c>
      <c r="J25" s="88"/>
      <c r="K25" s="90"/>
      <c r="L25" s="90"/>
      <c r="M25" s="88"/>
      <c r="N25" s="90"/>
      <c r="O25" s="349"/>
    </row>
    <row r="26" spans="1:15">
      <c r="A26" s="93" t="s">
        <v>11</v>
      </c>
      <c r="B26" s="87" t="s">
        <v>128</v>
      </c>
      <c r="C26" s="99">
        <f>(20+9+5+20)/(211+108+87+164)</f>
        <v>0.0947368421052632</v>
      </c>
      <c r="D26" s="274">
        <f>11/185</f>
        <v>0.0594594594594595</v>
      </c>
      <c r="E26" s="274">
        <f>6/74</f>
        <v>0.0810810810810811</v>
      </c>
      <c r="F26" s="308"/>
      <c r="G26" s="99">
        <f>(32+11)/(276+136)</f>
        <v>0.104368932038835</v>
      </c>
      <c r="H26" s="100"/>
      <c r="I26" s="100"/>
      <c r="J26" s="99">
        <f>(178+14+3+40)/(934+175+174+555)</f>
        <v>0.127856365614799</v>
      </c>
      <c r="K26" s="274">
        <f>33/132</f>
        <v>0.25</v>
      </c>
      <c r="L26" s="329">
        <f>24/114</f>
        <v>0.210526315789474</v>
      </c>
      <c r="M26" s="99">
        <f>(1+2)/(160+100)</f>
        <v>0.0115384615384615</v>
      </c>
      <c r="N26" s="100"/>
      <c r="O26" s="351"/>
    </row>
    <row r="27" spans="1:15">
      <c r="A27" s="93"/>
      <c r="B27" s="87" t="s">
        <v>4</v>
      </c>
      <c r="C27" s="275">
        <f>5/63</f>
        <v>0.0793650793650794</v>
      </c>
      <c r="D27" s="267">
        <f>15/110</f>
        <v>0.136363636363636</v>
      </c>
      <c r="E27" s="267">
        <f>2/40</f>
        <v>0.05</v>
      </c>
      <c r="F27" s="309"/>
      <c r="G27" s="88"/>
      <c r="H27" s="90"/>
      <c r="I27" s="90"/>
      <c r="J27" s="275">
        <f>13/115</f>
        <v>0.11304347826087</v>
      </c>
      <c r="K27" s="267">
        <f>32/67</f>
        <v>0.477611940298507</v>
      </c>
      <c r="L27" s="330">
        <f>26/75</f>
        <v>0.346666666666667</v>
      </c>
      <c r="M27" s="88"/>
      <c r="N27" s="90"/>
      <c r="O27" s="349"/>
    </row>
    <row r="28" spans="1:15">
      <c r="A28" s="93"/>
      <c r="B28" s="87" t="s">
        <v>5</v>
      </c>
      <c r="C28" s="275">
        <f>10/89</f>
        <v>0.112359550561798</v>
      </c>
      <c r="D28" s="267">
        <f>1/123</f>
        <v>0.00813008130081301</v>
      </c>
      <c r="E28" s="310"/>
      <c r="F28" s="311"/>
      <c r="G28" s="88"/>
      <c r="H28" s="90"/>
      <c r="I28" s="90"/>
      <c r="J28" s="331">
        <f>8/102</f>
        <v>0.0784313725490196</v>
      </c>
      <c r="K28" s="332">
        <f>12/76</f>
        <v>0.157894736842105</v>
      </c>
      <c r="L28" s="111">
        <f>14/281</f>
        <v>0.0498220640569395</v>
      </c>
      <c r="M28" s="88"/>
      <c r="N28" s="90"/>
      <c r="O28" s="349"/>
    </row>
    <row r="29" ht="14.25" spans="1:15">
      <c r="A29" s="98" t="s">
        <v>12</v>
      </c>
      <c r="B29" s="87" t="s">
        <v>128</v>
      </c>
      <c r="C29" s="276">
        <v>0</v>
      </c>
      <c r="D29" s="277"/>
      <c r="E29" s="277"/>
      <c r="F29" s="312"/>
      <c r="G29" s="99">
        <f>3/93</f>
        <v>0.032258064516129</v>
      </c>
      <c r="H29" s="100"/>
      <c r="I29" s="308"/>
      <c r="J29" s="278">
        <f>(5+7)/(158+100)</f>
        <v>0.0465116279069767</v>
      </c>
      <c r="K29" s="278"/>
      <c r="L29" s="278"/>
      <c r="M29" s="99">
        <f>15/532</f>
        <v>0.0281954887218045</v>
      </c>
      <c r="N29" s="352">
        <f t="shared" ref="N29:N31" si="0">AVERAGE(D19,H23,K26)</f>
        <v>0.436666666666667</v>
      </c>
      <c r="O29" s="353">
        <f t="shared" ref="O29:O31" si="1">AVERAGE(E19,I23,L26)</f>
        <v>0.405175438596491</v>
      </c>
    </row>
    <row r="30" ht="14.25" spans="1:15">
      <c r="A30" s="98"/>
      <c r="B30" s="87" t="s">
        <v>4</v>
      </c>
      <c r="C30" s="271"/>
      <c r="D30" s="278"/>
      <c r="E30" s="278"/>
      <c r="F30" s="313"/>
      <c r="G30" s="88"/>
      <c r="H30" s="90"/>
      <c r="I30" s="305"/>
      <c r="J30" s="278"/>
      <c r="K30" s="278"/>
      <c r="L30" s="278"/>
      <c r="M30" s="354">
        <f>AVERAGE(C20,G24,J27)</f>
        <v>0.25068115942029</v>
      </c>
      <c r="N30" s="355">
        <f t="shared" si="0"/>
        <v>0.475192838038221</v>
      </c>
      <c r="O30" s="356">
        <f t="shared" si="1"/>
        <v>0.398996415770609</v>
      </c>
    </row>
    <row r="31" ht="14.25" spans="1:15">
      <c r="A31" s="98"/>
      <c r="B31" s="101" t="s">
        <v>5</v>
      </c>
      <c r="C31" s="279"/>
      <c r="D31" s="280"/>
      <c r="E31" s="280"/>
      <c r="F31" s="314"/>
      <c r="G31" s="102"/>
      <c r="H31" s="103"/>
      <c r="I31" s="333"/>
      <c r="J31" s="280"/>
      <c r="K31" s="280"/>
      <c r="L31" s="280"/>
      <c r="M31" s="357">
        <f>AVERAGE(C21,G25,J28)</f>
        <v>0.171143790849673</v>
      </c>
      <c r="N31" s="358">
        <f t="shared" si="0"/>
        <v>0.446441102756892</v>
      </c>
      <c r="O31" s="359">
        <f t="shared" si="1"/>
        <v>0.0413326294109212</v>
      </c>
    </row>
    <row r="32" ht="54" spans="1:15">
      <c r="A32" s="281" t="s">
        <v>129</v>
      </c>
      <c r="B32" s="282" t="s">
        <v>130</v>
      </c>
      <c r="C32" s="283" t="s">
        <v>131</v>
      </c>
      <c r="D32" s="78"/>
      <c r="E32" s="78"/>
      <c r="F32" s="90"/>
      <c r="G32" s="78"/>
      <c r="H32" s="78"/>
      <c r="I32" s="78"/>
      <c r="J32" s="78"/>
      <c r="K32" s="78"/>
      <c r="L32" s="78"/>
      <c r="M32" s="122"/>
      <c r="N32" s="122"/>
      <c r="O32" s="122"/>
    </row>
    <row r="33" spans="1:15">
      <c r="A33" s="284"/>
      <c r="B33" s="77"/>
      <c r="C33" s="78"/>
      <c r="D33" s="78"/>
      <c r="E33" s="78"/>
      <c r="F33" s="90"/>
      <c r="G33" s="78"/>
      <c r="H33" s="78"/>
      <c r="I33" s="78"/>
      <c r="J33" s="78"/>
      <c r="K33" s="78"/>
      <c r="L33" s="78"/>
      <c r="M33" s="122"/>
      <c r="N33" s="122"/>
      <c r="O33" s="122"/>
    </row>
    <row r="35" ht="14.25" spans="1:2">
      <c r="A35" s="285">
        <v>43987</v>
      </c>
      <c r="B35" s="104" t="s">
        <v>132</v>
      </c>
    </row>
    <row r="36" spans="1:15">
      <c r="A36" s="79"/>
      <c r="B36" s="80"/>
      <c r="C36" s="81" t="s">
        <v>25</v>
      </c>
      <c r="D36" s="81"/>
      <c r="E36" s="81"/>
      <c r="F36" s="81"/>
      <c r="G36" s="81" t="s">
        <v>10</v>
      </c>
      <c r="H36" s="81"/>
      <c r="I36" s="81"/>
      <c r="J36" s="81" t="s">
        <v>11</v>
      </c>
      <c r="K36" s="81"/>
      <c r="L36" s="81"/>
      <c r="M36" s="123" t="s">
        <v>12</v>
      </c>
      <c r="N36" s="123"/>
      <c r="O36" s="123"/>
    </row>
    <row r="37" ht="14.25" spans="1:15">
      <c r="A37" s="82"/>
      <c r="B37" s="83"/>
      <c r="C37" s="83" t="s">
        <v>128</v>
      </c>
      <c r="D37" s="83" t="s">
        <v>4</v>
      </c>
      <c r="E37" s="83" t="s">
        <v>5</v>
      </c>
      <c r="F37" s="83" t="s">
        <v>6</v>
      </c>
      <c r="G37" s="83" t="s">
        <v>128</v>
      </c>
      <c r="H37" s="83" t="s">
        <v>4</v>
      </c>
      <c r="I37" s="83" t="s">
        <v>5</v>
      </c>
      <c r="J37" s="83" t="s">
        <v>128</v>
      </c>
      <c r="K37" s="83" t="s">
        <v>4</v>
      </c>
      <c r="L37" s="83" t="s">
        <v>5</v>
      </c>
      <c r="M37" s="83" t="s">
        <v>128</v>
      </c>
      <c r="N37" s="83" t="s">
        <v>4</v>
      </c>
      <c r="O37" s="124" t="s">
        <v>5</v>
      </c>
    </row>
    <row r="38" ht="14.25" spans="1:15">
      <c r="A38" s="84" t="s">
        <v>25</v>
      </c>
      <c r="B38" s="81" t="s">
        <v>128</v>
      </c>
      <c r="C38" s="265">
        <v>0.118161925601751</v>
      </c>
      <c r="D38" s="286">
        <v>0.63</v>
      </c>
      <c r="E38" s="302">
        <v>0.625</v>
      </c>
      <c r="F38" s="303"/>
      <c r="G38" s="86">
        <v>0.131578947368421</v>
      </c>
      <c r="H38" s="315"/>
      <c r="I38" s="86"/>
      <c r="J38" s="326">
        <v>0.0263620386643234</v>
      </c>
      <c r="K38" s="266">
        <v>0.101449275362319</v>
      </c>
      <c r="L38" s="266">
        <v>0.21</v>
      </c>
      <c r="M38" s="326"/>
      <c r="N38" s="86"/>
      <c r="O38" s="348"/>
    </row>
    <row r="39" ht="14.25" spans="1:15">
      <c r="A39" s="84"/>
      <c r="B39" s="87" t="s">
        <v>4</v>
      </c>
      <c r="C39" s="88">
        <v>0.51</v>
      </c>
      <c r="D39" s="287">
        <v>0.48</v>
      </c>
      <c r="E39" s="90">
        <v>0.290322580645161</v>
      </c>
      <c r="F39" s="304"/>
      <c r="G39" s="316"/>
      <c r="H39" s="90"/>
      <c r="I39" s="90"/>
      <c r="J39" s="275">
        <v>0.0289017341040462</v>
      </c>
      <c r="K39" s="267">
        <v>0.218181818181818</v>
      </c>
      <c r="L39" s="267">
        <v>0.252032520325203</v>
      </c>
      <c r="M39" s="88"/>
      <c r="N39" s="90"/>
      <c r="O39" s="349"/>
    </row>
    <row r="40" ht="14.25" spans="1:15">
      <c r="A40" s="84"/>
      <c r="B40" s="87" t="s">
        <v>5</v>
      </c>
      <c r="C40" s="88">
        <v>0.31</v>
      </c>
      <c r="D40" s="287">
        <v>0.61</v>
      </c>
      <c r="E40" s="287">
        <v>0.0385</v>
      </c>
      <c r="F40" s="305">
        <v>0.354838709677419</v>
      </c>
      <c r="G40" s="90"/>
      <c r="H40" s="90"/>
      <c r="I40" s="90"/>
      <c r="J40" s="275"/>
      <c r="K40" s="267">
        <v>0.025</v>
      </c>
      <c r="L40" s="267"/>
      <c r="M40" s="88"/>
      <c r="N40" s="90"/>
      <c r="O40" s="349"/>
    </row>
    <row r="41" spans="1:15">
      <c r="A41" s="84"/>
      <c r="B41" s="87" t="s">
        <v>6</v>
      </c>
      <c r="C41" s="269"/>
      <c r="D41" s="270"/>
      <c r="E41" s="270"/>
      <c r="F41" s="306"/>
      <c r="G41" s="307"/>
      <c r="H41" s="307"/>
      <c r="I41" s="307"/>
      <c r="J41" s="327"/>
      <c r="K41" s="307"/>
      <c r="L41" s="328"/>
      <c r="M41" s="327"/>
      <c r="N41" s="307"/>
      <c r="O41" s="350"/>
    </row>
    <row r="42" spans="1:15">
      <c r="A42" s="93" t="s">
        <v>10</v>
      </c>
      <c r="B42" s="87" t="s">
        <v>128</v>
      </c>
      <c r="C42" s="88">
        <v>0.0158730158730159</v>
      </c>
      <c r="D42" s="272"/>
      <c r="E42" s="90"/>
      <c r="F42" s="305"/>
      <c r="G42" s="99">
        <v>0.24282982791587</v>
      </c>
      <c r="H42" s="277">
        <v>0.63</v>
      </c>
      <c r="I42" s="100">
        <v>0.38</v>
      </c>
      <c r="J42" s="276">
        <v>0.00728155339805825</v>
      </c>
      <c r="K42" s="100"/>
      <c r="L42" s="100"/>
      <c r="M42" s="99"/>
      <c r="N42" s="100"/>
      <c r="O42" s="351"/>
    </row>
    <row r="43" spans="1:15">
      <c r="A43" s="93"/>
      <c r="B43" s="87" t="s">
        <v>4</v>
      </c>
      <c r="C43" s="273"/>
      <c r="D43" s="90"/>
      <c r="E43" s="90"/>
      <c r="F43" s="305"/>
      <c r="G43" s="88">
        <v>0.129</v>
      </c>
      <c r="H43" s="90">
        <v>0.48</v>
      </c>
      <c r="I43" s="90">
        <v>0.56</v>
      </c>
      <c r="J43" s="88"/>
      <c r="K43" s="90"/>
      <c r="L43" s="90"/>
      <c r="M43" s="88"/>
      <c r="N43" s="90"/>
      <c r="O43" s="349"/>
    </row>
    <row r="44" spans="1:15">
      <c r="A44" s="93"/>
      <c r="B44" s="87" t="s">
        <v>5</v>
      </c>
      <c r="C44" s="88"/>
      <c r="D44" s="90"/>
      <c r="E44" s="90"/>
      <c r="F44" s="305"/>
      <c r="G44" s="88">
        <v>0.125</v>
      </c>
      <c r="H44" s="90">
        <v>0.61</v>
      </c>
      <c r="I44" s="278">
        <v>0.0384615384615385</v>
      </c>
      <c r="J44" s="88"/>
      <c r="K44" s="90"/>
      <c r="L44" s="90"/>
      <c r="M44" s="88"/>
      <c r="N44" s="90"/>
      <c r="O44" s="349"/>
    </row>
    <row r="45" spans="1:15">
      <c r="A45" s="93" t="s">
        <v>11</v>
      </c>
      <c r="B45" s="87" t="s">
        <v>128</v>
      </c>
      <c r="C45" s="99">
        <v>0.0947368421052632</v>
      </c>
      <c r="D45" s="274">
        <v>0.0594594594594595</v>
      </c>
      <c r="E45" s="274">
        <v>0.0810810810810811</v>
      </c>
      <c r="F45" s="308"/>
      <c r="G45" s="99">
        <v>0.104368932038835</v>
      </c>
      <c r="H45" s="100"/>
      <c r="I45" s="100"/>
      <c r="J45" s="99">
        <v>0.127856365614799</v>
      </c>
      <c r="K45" s="334">
        <v>0.63</v>
      </c>
      <c r="L45" s="335">
        <v>0.625</v>
      </c>
      <c r="M45" s="99">
        <v>0.0115384615384615</v>
      </c>
      <c r="N45" s="100"/>
      <c r="O45" s="351"/>
    </row>
    <row r="46" spans="1:15">
      <c r="A46" s="93"/>
      <c r="B46" s="87" t="s">
        <v>4</v>
      </c>
      <c r="C46" s="275">
        <v>0.0793650793650794</v>
      </c>
      <c r="D46" s="267">
        <v>0.136363636363636</v>
      </c>
      <c r="E46" s="267">
        <v>0.05</v>
      </c>
      <c r="F46" s="309"/>
      <c r="G46" s="88"/>
      <c r="H46" s="90"/>
      <c r="I46" s="90"/>
      <c r="J46" s="317">
        <v>0.51</v>
      </c>
      <c r="K46" s="287">
        <v>0.48</v>
      </c>
      <c r="L46" s="336">
        <v>0.290322580645161</v>
      </c>
      <c r="M46" s="88"/>
      <c r="N46" s="90"/>
      <c r="O46" s="349"/>
    </row>
    <row r="47" spans="1:15">
      <c r="A47" s="93"/>
      <c r="B47" s="87" t="s">
        <v>5</v>
      </c>
      <c r="C47" s="275">
        <v>0.112359550561798</v>
      </c>
      <c r="D47" s="267">
        <v>0.00813008130081301</v>
      </c>
      <c r="E47" s="310"/>
      <c r="F47" s="311"/>
      <c r="G47" s="88"/>
      <c r="H47" s="90"/>
      <c r="I47" s="90"/>
      <c r="J47" s="337">
        <v>0.31</v>
      </c>
      <c r="K47" s="338">
        <v>0.61</v>
      </c>
      <c r="L47" s="339">
        <v>0.0385</v>
      </c>
      <c r="M47" s="88"/>
      <c r="N47" s="90"/>
      <c r="O47" s="349"/>
    </row>
    <row r="48" ht="14.25" spans="1:15">
      <c r="A48" s="98" t="s">
        <v>12</v>
      </c>
      <c r="B48" s="87" t="s">
        <v>128</v>
      </c>
      <c r="C48" s="276"/>
      <c r="D48" s="277"/>
      <c r="E48" s="277"/>
      <c r="F48" s="312"/>
      <c r="G48" s="276">
        <v>0.032258064516129</v>
      </c>
      <c r="H48" s="277"/>
      <c r="I48" s="312"/>
      <c r="J48" s="278">
        <v>0.0465116279069767</v>
      </c>
      <c r="K48" s="278"/>
      <c r="L48" s="278"/>
      <c r="M48" s="99">
        <v>0.0281954887218045</v>
      </c>
      <c r="N48" s="334">
        <v>0.63</v>
      </c>
      <c r="O48" s="360">
        <v>0.625</v>
      </c>
    </row>
    <row r="49" ht="14.25" spans="1:15">
      <c r="A49" s="98"/>
      <c r="B49" s="87" t="s">
        <v>4</v>
      </c>
      <c r="C49" s="271"/>
      <c r="D49" s="278"/>
      <c r="E49" s="278"/>
      <c r="F49" s="313"/>
      <c r="G49" s="271"/>
      <c r="H49" s="278"/>
      <c r="I49" s="313"/>
      <c r="J49" s="278"/>
      <c r="K49" s="278"/>
      <c r="L49" s="278"/>
      <c r="M49" s="317">
        <v>0.51</v>
      </c>
      <c r="N49" s="287">
        <v>0.48</v>
      </c>
      <c r="O49" s="361">
        <v>0.290322580645161</v>
      </c>
    </row>
    <row r="50" ht="14.25" spans="1:15">
      <c r="A50" s="98"/>
      <c r="B50" s="101" t="s">
        <v>5</v>
      </c>
      <c r="C50" s="279"/>
      <c r="D50" s="280"/>
      <c r="E50" s="280"/>
      <c r="F50" s="314"/>
      <c r="G50" s="279"/>
      <c r="H50" s="280"/>
      <c r="I50" s="314"/>
      <c r="J50" s="280"/>
      <c r="K50" s="280"/>
      <c r="L50" s="280"/>
      <c r="M50" s="362">
        <v>0.31</v>
      </c>
      <c r="N50" s="363">
        <v>0.61</v>
      </c>
      <c r="O50" s="364">
        <v>0.0385</v>
      </c>
    </row>
    <row r="54" ht="14.25" spans="1:2">
      <c r="A54" s="285">
        <v>43988</v>
      </c>
      <c r="B54" s="104" t="s">
        <v>133</v>
      </c>
    </row>
    <row r="55" spans="1:15">
      <c r="A55" s="79"/>
      <c r="B55" s="80"/>
      <c r="C55" s="81" t="s">
        <v>25</v>
      </c>
      <c r="D55" s="81"/>
      <c r="E55" s="81"/>
      <c r="F55" s="81"/>
      <c r="G55" s="81" t="s">
        <v>10</v>
      </c>
      <c r="H55" s="81"/>
      <c r="I55" s="81"/>
      <c r="J55" s="81" t="s">
        <v>11</v>
      </c>
      <c r="K55" s="81"/>
      <c r="L55" s="81"/>
      <c r="M55" s="123" t="s">
        <v>12</v>
      </c>
      <c r="N55" s="123"/>
      <c r="O55" s="123"/>
    </row>
    <row r="56" ht="14.25" spans="1:15">
      <c r="A56" s="82"/>
      <c r="B56" s="83"/>
      <c r="C56" s="83" t="s">
        <v>128</v>
      </c>
      <c r="D56" s="83" t="s">
        <v>4</v>
      </c>
      <c r="E56" s="83" t="s">
        <v>5</v>
      </c>
      <c r="F56" s="83" t="s">
        <v>6</v>
      </c>
      <c r="G56" s="83" t="s">
        <v>128</v>
      </c>
      <c r="H56" s="83" t="s">
        <v>4</v>
      </c>
      <c r="I56" s="83" t="s">
        <v>5</v>
      </c>
      <c r="J56" s="83" t="s">
        <v>128</v>
      </c>
      <c r="K56" s="83" t="s">
        <v>4</v>
      </c>
      <c r="L56" s="83" t="s">
        <v>5</v>
      </c>
      <c r="M56" s="83" t="s">
        <v>128</v>
      </c>
      <c r="N56" s="83" t="s">
        <v>4</v>
      </c>
      <c r="O56" s="124" t="s">
        <v>5</v>
      </c>
    </row>
    <row r="57" ht="14.25" spans="1:15">
      <c r="A57" s="84" t="s">
        <v>25</v>
      </c>
      <c r="B57" s="81" t="s">
        <v>128</v>
      </c>
      <c r="C57" s="265">
        <v>0.118161925601751</v>
      </c>
      <c r="D57" s="286">
        <v>0.63</v>
      </c>
      <c r="E57" s="302">
        <v>0.625</v>
      </c>
      <c r="F57" s="303"/>
      <c r="G57" s="86">
        <v>0.131578947368421</v>
      </c>
      <c r="H57" s="315"/>
      <c r="I57" s="86"/>
      <c r="J57" s="326">
        <v>0.0263620386643234</v>
      </c>
      <c r="K57" s="266"/>
      <c r="L57" s="266"/>
      <c r="M57" s="326"/>
      <c r="N57" s="86"/>
      <c r="O57" s="348"/>
    </row>
    <row r="58" ht="14.25" spans="1:15">
      <c r="A58" s="84"/>
      <c r="B58" s="87" t="s">
        <v>4</v>
      </c>
      <c r="C58" s="88">
        <v>0.51</v>
      </c>
      <c r="D58" s="287">
        <v>0.48</v>
      </c>
      <c r="E58" s="90">
        <v>0.290322580645161</v>
      </c>
      <c r="F58" s="304"/>
      <c r="G58" s="316"/>
      <c r="H58" s="90"/>
      <c r="I58" s="90"/>
      <c r="J58" s="275"/>
      <c r="K58" s="267"/>
      <c r="L58" s="267"/>
      <c r="M58" s="88"/>
      <c r="N58" s="90"/>
      <c r="O58" s="349"/>
    </row>
    <row r="59" ht="14.25" spans="1:15">
      <c r="A59" s="84"/>
      <c r="B59" s="87" t="s">
        <v>5</v>
      </c>
      <c r="C59" s="88">
        <v>0.31</v>
      </c>
      <c r="D59" s="287">
        <v>0.61</v>
      </c>
      <c r="E59" s="287">
        <v>0.0385</v>
      </c>
      <c r="F59" s="305">
        <v>0.354838709677419</v>
      </c>
      <c r="G59" s="90"/>
      <c r="H59" s="90"/>
      <c r="I59" s="90"/>
      <c r="J59" s="275"/>
      <c r="K59" s="267"/>
      <c r="L59" s="267"/>
      <c r="M59" s="88"/>
      <c r="N59" s="90"/>
      <c r="O59" s="349"/>
    </row>
    <row r="60" spans="1:15">
      <c r="A60" s="84"/>
      <c r="B60" s="87" t="s">
        <v>6</v>
      </c>
      <c r="C60" s="269"/>
      <c r="D60" s="270"/>
      <c r="E60" s="270"/>
      <c r="F60" s="306"/>
      <c r="G60" s="307"/>
      <c r="H60" s="307"/>
      <c r="I60" s="307"/>
      <c r="J60" s="327"/>
      <c r="K60" s="307"/>
      <c r="L60" s="328"/>
      <c r="M60" s="327"/>
      <c r="N60" s="307"/>
      <c r="O60" s="350"/>
    </row>
    <row r="61" spans="1:15">
      <c r="A61" s="93" t="s">
        <v>10</v>
      </c>
      <c r="B61" s="87" t="s">
        <v>128</v>
      </c>
      <c r="C61" s="88">
        <v>0.0158730158730159</v>
      </c>
      <c r="D61" s="272"/>
      <c r="E61" s="90"/>
      <c r="F61" s="305"/>
      <c r="G61" s="99">
        <v>0.24282982791587</v>
      </c>
      <c r="H61" s="277">
        <v>0.63</v>
      </c>
      <c r="I61" s="100">
        <v>0.38</v>
      </c>
      <c r="J61" s="276">
        <v>0.00728155339805825</v>
      </c>
      <c r="K61" s="100"/>
      <c r="L61" s="100"/>
      <c r="M61" s="99"/>
      <c r="N61" s="100"/>
      <c r="O61" s="351"/>
    </row>
    <row r="62" spans="1:15">
      <c r="A62" s="93"/>
      <c r="B62" s="87" t="s">
        <v>4</v>
      </c>
      <c r="C62" s="273"/>
      <c r="D62" s="90"/>
      <c r="E62" s="90"/>
      <c r="F62" s="305"/>
      <c r="G62" s="317">
        <v>0.51</v>
      </c>
      <c r="H62" s="90">
        <v>0.48</v>
      </c>
      <c r="I62" s="90">
        <v>0.56</v>
      </c>
      <c r="J62" s="88"/>
      <c r="K62" s="90"/>
      <c r="L62" s="90"/>
      <c r="M62" s="88"/>
      <c r="N62" s="90"/>
      <c r="O62" s="349"/>
    </row>
    <row r="63" spans="1:15">
      <c r="A63" s="93"/>
      <c r="B63" s="87" t="s">
        <v>5</v>
      </c>
      <c r="C63" s="88"/>
      <c r="D63" s="90"/>
      <c r="E63" s="90"/>
      <c r="F63" s="305"/>
      <c r="G63" s="317">
        <v>0.31</v>
      </c>
      <c r="H63" s="90">
        <v>0.61</v>
      </c>
      <c r="I63" s="278">
        <v>0.0384615384615385</v>
      </c>
      <c r="J63" s="88"/>
      <c r="K63" s="90"/>
      <c r="L63" s="90"/>
      <c r="M63" s="88"/>
      <c r="N63" s="90"/>
      <c r="O63" s="349"/>
    </row>
    <row r="64" spans="1:15">
      <c r="A64" s="93" t="s">
        <v>11</v>
      </c>
      <c r="B64" s="87" t="s">
        <v>128</v>
      </c>
      <c r="C64" s="99">
        <v>0.0947368421052632</v>
      </c>
      <c r="D64" s="274"/>
      <c r="E64" s="274"/>
      <c r="F64" s="308"/>
      <c r="G64" s="99">
        <v>0.104368932038835</v>
      </c>
      <c r="H64" s="100"/>
      <c r="I64" s="100"/>
      <c r="J64" s="99">
        <v>0.127856365614799</v>
      </c>
      <c r="K64" s="334">
        <v>0.63</v>
      </c>
      <c r="L64" s="335">
        <v>0.625</v>
      </c>
      <c r="M64" s="99">
        <v>0.0115384615384615</v>
      </c>
      <c r="N64" s="100"/>
      <c r="O64" s="351"/>
    </row>
    <row r="65" spans="1:15">
      <c r="A65" s="93"/>
      <c r="B65" s="87" t="s">
        <v>4</v>
      </c>
      <c r="C65" s="275"/>
      <c r="D65" s="267"/>
      <c r="E65" s="267"/>
      <c r="F65" s="309"/>
      <c r="G65" s="88"/>
      <c r="H65" s="90"/>
      <c r="I65" s="90"/>
      <c r="J65" s="317">
        <v>0.51</v>
      </c>
      <c r="K65" s="287">
        <v>0.48</v>
      </c>
      <c r="L65" s="336">
        <v>0.290322580645161</v>
      </c>
      <c r="M65" s="88"/>
      <c r="N65" s="90"/>
      <c r="O65" s="349"/>
    </row>
    <row r="66" spans="1:15">
      <c r="A66" s="93"/>
      <c r="B66" s="87" t="s">
        <v>5</v>
      </c>
      <c r="C66" s="275"/>
      <c r="D66" s="267"/>
      <c r="E66" s="310"/>
      <c r="F66" s="311"/>
      <c r="G66" s="88"/>
      <c r="H66" s="90"/>
      <c r="I66" s="90"/>
      <c r="J66" s="337">
        <v>0.31</v>
      </c>
      <c r="K66" s="338">
        <v>0.61</v>
      </c>
      <c r="L66" s="339">
        <v>0.0385</v>
      </c>
      <c r="M66" s="88"/>
      <c r="N66" s="90"/>
      <c r="O66" s="349"/>
    </row>
    <row r="67" ht="14.25" spans="1:15">
      <c r="A67" s="98" t="s">
        <v>12</v>
      </c>
      <c r="B67" s="87" t="s">
        <v>128</v>
      </c>
      <c r="C67" s="276"/>
      <c r="D67" s="277"/>
      <c r="E67" s="277"/>
      <c r="F67" s="312"/>
      <c r="G67" s="276">
        <v>0.032258064516129</v>
      </c>
      <c r="H67" s="277"/>
      <c r="I67" s="312"/>
      <c r="J67" s="278">
        <v>0.0465116279069767</v>
      </c>
      <c r="K67" s="278"/>
      <c r="L67" s="278"/>
      <c r="M67" s="99">
        <v>0.0281954887218045</v>
      </c>
      <c r="N67" s="334">
        <v>0.63</v>
      </c>
      <c r="O67" s="360">
        <v>0.625</v>
      </c>
    </row>
    <row r="68" ht="14.25" spans="1:15">
      <c r="A68" s="98"/>
      <c r="B68" s="87" t="s">
        <v>4</v>
      </c>
      <c r="C68" s="271"/>
      <c r="D68" s="278"/>
      <c r="E68" s="278"/>
      <c r="F68" s="313"/>
      <c r="G68" s="271"/>
      <c r="H68" s="278"/>
      <c r="I68" s="313"/>
      <c r="J68" s="278"/>
      <c r="K68" s="278"/>
      <c r="L68" s="278"/>
      <c r="M68" s="317">
        <v>0.51</v>
      </c>
      <c r="N68" s="287">
        <v>0.48</v>
      </c>
      <c r="O68" s="361">
        <v>0.290322580645161</v>
      </c>
    </row>
    <row r="69" ht="14.25" spans="1:15">
      <c r="A69" s="98"/>
      <c r="B69" s="101" t="s">
        <v>5</v>
      </c>
      <c r="C69" s="279"/>
      <c r="D69" s="280"/>
      <c r="E69" s="280"/>
      <c r="F69" s="314"/>
      <c r="G69" s="279"/>
      <c r="H69" s="280"/>
      <c r="I69" s="314"/>
      <c r="J69" s="280"/>
      <c r="K69" s="280"/>
      <c r="L69" s="280"/>
      <c r="M69" s="362">
        <v>0.31</v>
      </c>
      <c r="N69" s="363">
        <v>0.61</v>
      </c>
      <c r="O69" s="364">
        <v>0.0385</v>
      </c>
    </row>
    <row r="72" ht="14.25" spans="1:2">
      <c r="A72" s="285">
        <v>44021</v>
      </c>
      <c r="B72" s="104" t="s">
        <v>134</v>
      </c>
    </row>
    <row r="73" spans="1:15">
      <c r="A73" s="368"/>
      <c r="B73" s="369"/>
      <c r="C73" s="370" t="s">
        <v>25</v>
      </c>
      <c r="D73" s="370"/>
      <c r="E73" s="370"/>
      <c r="F73" s="370"/>
      <c r="G73" s="370" t="s">
        <v>10</v>
      </c>
      <c r="H73" s="370"/>
      <c r="I73" s="370"/>
      <c r="J73" s="370" t="s">
        <v>11</v>
      </c>
      <c r="K73" s="370"/>
      <c r="L73" s="370"/>
      <c r="M73" s="410" t="s">
        <v>12</v>
      </c>
      <c r="N73" s="410"/>
      <c r="O73" s="410"/>
    </row>
    <row r="74" ht="14.25" spans="1:15">
      <c r="A74" s="371"/>
      <c r="B74" s="372"/>
      <c r="C74" s="372" t="s">
        <v>18</v>
      </c>
      <c r="D74" s="372" t="s">
        <v>4</v>
      </c>
      <c r="E74" s="372" t="s">
        <v>5</v>
      </c>
      <c r="F74" s="372" t="s">
        <v>6</v>
      </c>
      <c r="G74" s="372" t="s">
        <v>18</v>
      </c>
      <c r="H74" s="372" t="s">
        <v>4</v>
      </c>
      <c r="I74" s="372" t="s">
        <v>5</v>
      </c>
      <c r="J74" s="372" t="s">
        <v>18</v>
      </c>
      <c r="K74" s="372" t="s">
        <v>4</v>
      </c>
      <c r="L74" s="372" t="s">
        <v>5</v>
      </c>
      <c r="M74" s="372" t="s">
        <v>18</v>
      </c>
      <c r="N74" s="372" t="s">
        <v>4</v>
      </c>
      <c r="O74" s="411" t="s">
        <v>5</v>
      </c>
    </row>
    <row r="75" spans="1:15">
      <c r="A75" s="373" t="s">
        <v>25</v>
      </c>
      <c r="B75" s="370" t="s">
        <v>18</v>
      </c>
      <c r="C75" s="265">
        <v>0.118161925601751</v>
      </c>
      <c r="D75" s="374">
        <v>0.63</v>
      </c>
      <c r="E75" s="386">
        <f>35/56</f>
        <v>0.625</v>
      </c>
      <c r="F75" s="387"/>
      <c r="G75" s="86">
        <v>0.131578947368421</v>
      </c>
      <c r="H75" s="266"/>
      <c r="I75" s="86"/>
      <c r="J75" s="326">
        <v>0.0263620386643234</v>
      </c>
      <c r="K75" s="398"/>
      <c r="L75" s="398"/>
      <c r="M75" s="265"/>
      <c r="N75" s="86"/>
      <c r="O75" s="348"/>
    </row>
    <row r="76" spans="1:15">
      <c r="A76" s="375"/>
      <c r="B76" s="376" t="s">
        <v>4</v>
      </c>
      <c r="C76" s="88">
        <f>23/45</f>
        <v>0.511111111111111</v>
      </c>
      <c r="D76" s="377">
        <v>0.48</v>
      </c>
      <c r="E76" s="90">
        <f>9/31</f>
        <v>0.290322580645161</v>
      </c>
      <c r="F76" s="388"/>
      <c r="G76" s="267"/>
      <c r="H76" s="90"/>
      <c r="I76" s="90"/>
      <c r="J76" s="275"/>
      <c r="K76" s="399"/>
      <c r="L76" s="399"/>
      <c r="M76" s="88"/>
      <c r="N76" s="90"/>
      <c r="O76" s="349"/>
    </row>
    <row r="77" spans="1:15">
      <c r="A77" s="375"/>
      <c r="B77" s="376" t="s">
        <v>5</v>
      </c>
      <c r="C77" s="88">
        <f>18/59</f>
        <v>0.305084745762712</v>
      </c>
      <c r="D77" s="268">
        <f>12/21</f>
        <v>0.571428571428571</v>
      </c>
      <c r="E77" s="377">
        <v>0.0384615384615385</v>
      </c>
      <c r="F77" s="313">
        <f>11/31</f>
        <v>0.354838709677419</v>
      </c>
      <c r="G77" s="90"/>
      <c r="H77" s="90"/>
      <c r="I77" s="90"/>
      <c r="J77" s="275"/>
      <c r="K77" s="399"/>
      <c r="L77" s="399"/>
      <c r="M77" s="88"/>
      <c r="N77" s="90"/>
      <c r="O77" s="349"/>
    </row>
    <row r="78" spans="1:15">
      <c r="A78" s="375"/>
      <c r="B78" s="376" t="s">
        <v>6</v>
      </c>
      <c r="C78" s="378"/>
      <c r="D78" s="379"/>
      <c r="E78" s="270"/>
      <c r="F78" s="389"/>
      <c r="G78" s="90"/>
      <c r="H78" s="90"/>
      <c r="I78" s="90"/>
      <c r="J78" s="327"/>
      <c r="K78" s="316"/>
      <c r="L78" s="316"/>
      <c r="M78" s="327"/>
      <c r="N78" s="307"/>
      <c r="O78" s="350"/>
    </row>
    <row r="79" spans="1:15">
      <c r="A79" s="375" t="s">
        <v>10</v>
      </c>
      <c r="B79" s="376" t="s">
        <v>18</v>
      </c>
      <c r="C79" s="88">
        <v>0.0158730158730159</v>
      </c>
      <c r="D79" s="316"/>
      <c r="E79" s="90"/>
      <c r="F79" s="305"/>
      <c r="G79" s="99">
        <v>0.24282982791587</v>
      </c>
      <c r="H79" s="100">
        <f>0.63</f>
        <v>0.63</v>
      </c>
      <c r="I79" s="100">
        <f>((31+17)/(89+64)+0.38)/2</f>
        <v>0.346862745098039</v>
      </c>
      <c r="J79" s="276">
        <v>0.00728155339805825</v>
      </c>
      <c r="K79" s="100"/>
      <c r="L79" s="100"/>
      <c r="M79" s="99"/>
      <c r="N79" s="100"/>
      <c r="O79" s="351"/>
    </row>
    <row r="80" spans="1:15">
      <c r="A80" s="375"/>
      <c r="B80" s="376" t="s">
        <v>4</v>
      </c>
      <c r="C80" s="275"/>
      <c r="D80" s="90"/>
      <c r="E80" s="90"/>
      <c r="F80" s="305"/>
      <c r="G80" s="390">
        <v>0.511111111111111</v>
      </c>
      <c r="H80" s="90">
        <f>0.48</f>
        <v>0.48</v>
      </c>
      <c r="I80" s="90">
        <f>((37+10)/(60+30)+0.56)/2</f>
        <v>0.541111111111111</v>
      </c>
      <c r="J80" s="88"/>
      <c r="K80" s="90"/>
      <c r="L80" s="90"/>
      <c r="M80" s="88"/>
      <c r="N80" s="90"/>
      <c r="O80" s="349"/>
    </row>
    <row r="81" spans="1:15">
      <c r="A81" s="375"/>
      <c r="B81" s="376" t="s">
        <v>5</v>
      </c>
      <c r="C81" s="88"/>
      <c r="D81" s="90"/>
      <c r="E81" s="90"/>
      <c r="F81" s="305"/>
      <c r="G81" s="88">
        <f>(12+8)/(30+64)</f>
        <v>0.212765957446809</v>
      </c>
      <c r="H81" s="90">
        <f>0.61</f>
        <v>0.61</v>
      </c>
      <c r="I81" s="90">
        <f>2/52</f>
        <v>0.0384615384615385</v>
      </c>
      <c r="J81" s="88"/>
      <c r="K81" s="90"/>
      <c r="L81" s="90"/>
      <c r="M81" s="88"/>
      <c r="N81" s="90"/>
      <c r="O81" s="349"/>
    </row>
    <row r="82" spans="1:15">
      <c r="A82" s="375" t="s">
        <v>11</v>
      </c>
      <c r="B82" s="376" t="s">
        <v>18</v>
      </c>
      <c r="C82" s="99">
        <v>0.0947368421052632</v>
      </c>
      <c r="D82" s="274"/>
      <c r="E82" s="274"/>
      <c r="F82" s="391"/>
      <c r="G82" s="99">
        <v>0.104368932038835</v>
      </c>
      <c r="H82" s="100"/>
      <c r="I82" s="100"/>
      <c r="J82" s="99">
        <v>0.127856365614799</v>
      </c>
      <c r="K82" s="400">
        <f t="shared" ref="K82:K84" si="2">AVERAGE(D75,H79)</f>
        <v>0.63</v>
      </c>
      <c r="L82" s="400">
        <f t="shared" ref="L82:L84" si="3">AVERAGE(E75,I79)</f>
        <v>0.48593137254902</v>
      </c>
      <c r="M82" s="99">
        <v>0.0115384615384615</v>
      </c>
      <c r="N82" s="100"/>
      <c r="O82" s="351"/>
    </row>
    <row r="83" spans="1:15">
      <c r="A83" s="375"/>
      <c r="B83" s="376" t="s">
        <v>4</v>
      </c>
      <c r="C83" s="275"/>
      <c r="D83" s="267"/>
      <c r="E83" s="267"/>
      <c r="F83" s="392"/>
      <c r="G83" s="88"/>
      <c r="H83" s="90"/>
      <c r="I83" s="90"/>
      <c r="J83" s="390">
        <f>AVERAGE(C76,G80)</f>
        <v>0.511111111111111</v>
      </c>
      <c r="K83" s="377">
        <f t="shared" si="2"/>
        <v>0.48</v>
      </c>
      <c r="L83" s="401">
        <f t="shared" si="3"/>
        <v>0.415716845878136</v>
      </c>
      <c r="M83" s="88"/>
      <c r="N83" s="90"/>
      <c r="O83" s="349"/>
    </row>
    <row r="84" spans="1:15">
      <c r="A84" s="375"/>
      <c r="B84" s="376" t="s">
        <v>5</v>
      </c>
      <c r="C84" s="275"/>
      <c r="D84" s="267"/>
      <c r="E84" s="267"/>
      <c r="F84" s="311"/>
      <c r="G84" s="88"/>
      <c r="H84" s="90"/>
      <c r="I84" s="90"/>
      <c r="J84" s="402">
        <f>AVERAGE(C77,G81)</f>
        <v>0.25892535160476</v>
      </c>
      <c r="K84" s="403">
        <f t="shared" si="2"/>
        <v>0.590714285714286</v>
      </c>
      <c r="L84" s="404">
        <f t="shared" si="3"/>
        <v>0.0384615384615385</v>
      </c>
      <c r="M84" s="88"/>
      <c r="N84" s="90"/>
      <c r="O84" s="349"/>
    </row>
    <row r="85" ht="14.25" spans="1:15">
      <c r="A85" s="380" t="s">
        <v>12</v>
      </c>
      <c r="B85" s="376" t="s">
        <v>18</v>
      </c>
      <c r="C85" s="99"/>
      <c r="D85" s="100"/>
      <c r="E85" s="100"/>
      <c r="F85" s="308"/>
      <c r="G85" s="276">
        <v>0.032258064516129</v>
      </c>
      <c r="H85" s="100"/>
      <c r="I85" s="308"/>
      <c r="J85" s="278">
        <v>0.0465116279069767</v>
      </c>
      <c r="K85" s="90"/>
      <c r="L85" s="90"/>
      <c r="M85" s="99">
        <v>0.0281954887218045</v>
      </c>
      <c r="N85" s="400">
        <f t="shared" ref="N85:N87" si="4">AVERAGE(D75,H79)</f>
        <v>0.63</v>
      </c>
      <c r="O85" s="412">
        <f t="shared" ref="O85:O87" si="5">AVERAGE(E75,I79)</f>
        <v>0.48593137254902</v>
      </c>
    </row>
    <row r="86" ht="14.25" spans="1:15">
      <c r="A86" s="380"/>
      <c r="B86" s="376" t="s">
        <v>4</v>
      </c>
      <c r="C86" s="88"/>
      <c r="D86" s="90"/>
      <c r="E86" s="90"/>
      <c r="F86" s="305"/>
      <c r="G86" s="88"/>
      <c r="H86" s="90"/>
      <c r="I86" s="305"/>
      <c r="J86" s="90"/>
      <c r="K86" s="90"/>
      <c r="L86" s="90"/>
      <c r="M86" s="390">
        <f>AVERAGE(C76,G80)</f>
        <v>0.511111111111111</v>
      </c>
      <c r="N86" s="377">
        <f t="shared" si="4"/>
        <v>0.48</v>
      </c>
      <c r="O86" s="413">
        <f t="shared" si="5"/>
        <v>0.415716845878136</v>
      </c>
    </row>
    <row r="87" ht="14.25" spans="1:15">
      <c r="A87" s="380"/>
      <c r="B87" s="381" t="s">
        <v>5</v>
      </c>
      <c r="C87" s="102"/>
      <c r="D87" s="103"/>
      <c r="E87" s="103"/>
      <c r="F87" s="333"/>
      <c r="G87" s="102"/>
      <c r="H87" s="103"/>
      <c r="I87" s="333"/>
      <c r="J87" s="103"/>
      <c r="K87" s="103"/>
      <c r="L87" s="103"/>
      <c r="M87" s="414">
        <f>AVERAGE(C77,G81)</f>
        <v>0.25892535160476</v>
      </c>
      <c r="N87" s="415">
        <f t="shared" si="4"/>
        <v>0.590714285714286</v>
      </c>
      <c r="O87" s="416">
        <f t="shared" si="5"/>
        <v>0.0384615384615385</v>
      </c>
    </row>
    <row r="90" ht="14.25" spans="1:2">
      <c r="A90" s="285">
        <v>44027</v>
      </c>
      <c r="B90" s="104" t="s">
        <v>135</v>
      </c>
    </row>
    <row r="91" spans="1:15">
      <c r="A91" s="368"/>
      <c r="B91" s="369"/>
      <c r="C91" s="370" t="s">
        <v>25</v>
      </c>
      <c r="D91" s="370"/>
      <c r="E91" s="370"/>
      <c r="F91" s="370"/>
      <c r="G91" s="370" t="s">
        <v>10</v>
      </c>
      <c r="H91" s="370"/>
      <c r="I91" s="370"/>
      <c r="J91" s="370" t="s">
        <v>11</v>
      </c>
      <c r="K91" s="370"/>
      <c r="L91" s="370"/>
      <c r="M91" s="410" t="s">
        <v>12</v>
      </c>
      <c r="N91" s="410"/>
      <c r="O91" s="410"/>
    </row>
    <row r="92" ht="14.25" spans="1:15">
      <c r="A92" s="371"/>
      <c r="B92" s="372"/>
      <c r="C92" s="372" t="s">
        <v>18</v>
      </c>
      <c r="D92" s="372" t="s">
        <v>4</v>
      </c>
      <c r="E92" s="372" t="s">
        <v>5</v>
      </c>
      <c r="F92" s="372" t="s">
        <v>6</v>
      </c>
      <c r="G92" s="372" t="s">
        <v>18</v>
      </c>
      <c r="H92" s="372" t="s">
        <v>4</v>
      </c>
      <c r="I92" s="372" t="s">
        <v>5</v>
      </c>
      <c r="J92" s="372" t="s">
        <v>18</v>
      </c>
      <c r="K92" s="372" t="s">
        <v>4</v>
      </c>
      <c r="L92" s="372" t="s">
        <v>5</v>
      </c>
      <c r="M92" s="372" t="s">
        <v>18</v>
      </c>
      <c r="N92" s="372" t="s">
        <v>4</v>
      </c>
      <c r="O92" s="411" t="s">
        <v>5</v>
      </c>
    </row>
    <row r="93" spans="1:15">
      <c r="A93" s="373" t="s">
        <v>25</v>
      </c>
      <c r="B93" s="370" t="s">
        <v>18</v>
      </c>
      <c r="C93" s="265">
        <v>0.118161925601751</v>
      </c>
      <c r="D93" s="382">
        <v>0.63</v>
      </c>
      <c r="E93" s="393">
        <f>35/56</f>
        <v>0.625</v>
      </c>
      <c r="F93" s="394">
        <f>3/58</f>
        <v>0.0517241379310345</v>
      </c>
      <c r="G93" s="86">
        <v>0.131578947368421</v>
      </c>
      <c r="H93" s="266"/>
      <c r="I93" s="86"/>
      <c r="J93" s="326">
        <v>0.0263620386643234</v>
      </c>
      <c r="K93" s="398"/>
      <c r="L93" s="398"/>
      <c r="M93" s="265"/>
      <c r="N93" s="86"/>
      <c r="O93" s="348"/>
    </row>
    <row r="94" spans="1:15">
      <c r="A94" s="375"/>
      <c r="B94" s="376" t="s">
        <v>4</v>
      </c>
      <c r="C94" s="383">
        <f>23/45</f>
        <v>0.511111111111111</v>
      </c>
      <c r="D94" s="268">
        <f>17/44</f>
        <v>0.386363636363636</v>
      </c>
      <c r="E94" s="268">
        <f>(9+4)/(31+36)</f>
        <v>0.194029850746269</v>
      </c>
      <c r="F94" s="395">
        <f>2/30</f>
        <v>0.0666666666666667</v>
      </c>
      <c r="G94" s="267"/>
      <c r="H94" s="90"/>
      <c r="I94" s="90"/>
      <c r="J94" s="275"/>
      <c r="K94" s="399"/>
      <c r="L94" s="399"/>
      <c r="M94" s="88"/>
      <c r="N94" s="90"/>
      <c r="O94" s="349"/>
    </row>
    <row r="95" spans="1:15">
      <c r="A95" s="375"/>
      <c r="B95" s="376" t="s">
        <v>5</v>
      </c>
      <c r="C95" s="383">
        <f>18/59</f>
        <v>0.305084745762712</v>
      </c>
      <c r="D95" s="268">
        <f>(12+11)/(21+38)</f>
        <v>0.389830508474576</v>
      </c>
      <c r="E95" s="268">
        <f>0/32</f>
        <v>0</v>
      </c>
      <c r="F95" s="395">
        <f>(11+18)/(31+45)</f>
        <v>0.381578947368421</v>
      </c>
      <c r="G95" s="90"/>
      <c r="H95" s="90"/>
      <c r="I95" s="90"/>
      <c r="J95" s="275"/>
      <c r="K95" s="399"/>
      <c r="L95" s="399"/>
      <c r="M95" s="88"/>
      <c r="N95" s="90"/>
      <c r="O95" s="349"/>
    </row>
    <row r="96" spans="1:15">
      <c r="A96" s="375"/>
      <c r="B96" s="376" t="s">
        <v>6</v>
      </c>
      <c r="C96" s="384">
        <f>5/28</f>
        <v>0.178571428571429</v>
      </c>
      <c r="D96" s="385">
        <f>7/28</f>
        <v>0.25</v>
      </c>
      <c r="E96" s="385">
        <f>27/48</f>
        <v>0.5625</v>
      </c>
      <c r="F96" s="396">
        <f>6/79</f>
        <v>0.0759493670886076</v>
      </c>
      <c r="G96" s="90"/>
      <c r="H96" s="90"/>
      <c r="I96" s="90"/>
      <c r="J96" s="327"/>
      <c r="K96" s="316"/>
      <c r="L96" s="316"/>
      <c r="M96" s="327"/>
      <c r="N96" s="307"/>
      <c r="O96" s="350"/>
    </row>
    <row r="97" spans="1:15">
      <c r="A97" s="375" t="s">
        <v>10</v>
      </c>
      <c r="B97" s="376" t="s">
        <v>18</v>
      </c>
      <c r="C97" s="88">
        <v>0.0158730158730159</v>
      </c>
      <c r="D97" s="316"/>
      <c r="E97" s="90"/>
      <c r="F97" s="305"/>
      <c r="G97" s="99">
        <v>0.24282982791587</v>
      </c>
      <c r="H97" s="100">
        <f>0.63</f>
        <v>0.63</v>
      </c>
      <c r="I97" s="100">
        <f>0.38</f>
        <v>0.38</v>
      </c>
      <c r="J97" s="276">
        <v>0.00728155339805825</v>
      </c>
      <c r="K97" s="100"/>
      <c r="L97" s="100"/>
      <c r="M97" s="99"/>
      <c r="N97" s="100"/>
      <c r="O97" s="351"/>
    </row>
    <row r="98" spans="1:15">
      <c r="A98" s="375"/>
      <c r="B98" s="376" t="s">
        <v>4</v>
      </c>
      <c r="C98" s="275"/>
      <c r="D98" s="90"/>
      <c r="E98" s="90"/>
      <c r="F98" s="305"/>
      <c r="G98" s="397">
        <v>0.511111111111111</v>
      </c>
      <c r="H98" s="90">
        <f>0.48</f>
        <v>0.48</v>
      </c>
      <c r="I98" s="90">
        <f>0.56</f>
        <v>0.56</v>
      </c>
      <c r="J98" s="88"/>
      <c r="K98" s="90"/>
      <c r="L98" s="90"/>
      <c r="M98" s="88"/>
      <c r="N98" s="90"/>
      <c r="O98" s="349"/>
    </row>
    <row r="99" spans="1:15">
      <c r="A99" s="375"/>
      <c r="B99" s="376" t="s">
        <v>5</v>
      </c>
      <c r="C99" s="88"/>
      <c r="D99" s="90"/>
      <c r="E99" s="90"/>
      <c r="F99" s="305"/>
      <c r="G99" s="88">
        <f>(12+8)/(30+64)</f>
        <v>0.212765957446809</v>
      </c>
      <c r="H99" s="90">
        <f>0.61</f>
        <v>0.61</v>
      </c>
      <c r="I99" s="90">
        <f>2/52</f>
        <v>0.0384615384615385</v>
      </c>
      <c r="J99" s="88"/>
      <c r="K99" s="90"/>
      <c r="L99" s="90"/>
      <c r="M99" s="88"/>
      <c r="N99" s="90"/>
      <c r="O99" s="349"/>
    </row>
    <row r="100" spans="1:15">
      <c r="A100" s="375" t="s">
        <v>11</v>
      </c>
      <c r="B100" s="376" t="s">
        <v>18</v>
      </c>
      <c r="C100" s="99">
        <v>0.0947368421052632</v>
      </c>
      <c r="D100" s="274"/>
      <c r="E100" s="274"/>
      <c r="F100" s="391"/>
      <c r="G100" s="99">
        <v>0.104368932038835</v>
      </c>
      <c r="H100" s="100"/>
      <c r="I100" s="100"/>
      <c r="J100" s="99">
        <v>0.127856365614799</v>
      </c>
      <c r="K100" s="405">
        <f t="shared" ref="K100:K102" si="6">AVERAGE(D93,H97)</f>
        <v>0.63</v>
      </c>
      <c r="L100" s="405">
        <f t="shared" ref="L100:L102" si="7">AVERAGE(E93,I97)</f>
        <v>0.5025</v>
      </c>
      <c r="M100" s="99">
        <v>0.0115384615384615</v>
      </c>
      <c r="N100" s="100"/>
      <c r="O100" s="351"/>
    </row>
    <row r="101" spans="1:15">
      <c r="A101" s="375"/>
      <c r="B101" s="376" t="s">
        <v>4</v>
      </c>
      <c r="C101" s="275"/>
      <c r="D101" s="267"/>
      <c r="E101" s="267"/>
      <c r="F101" s="392"/>
      <c r="G101" s="88"/>
      <c r="H101" s="90"/>
      <c r="I101" s="90"/>
      <c r="J101" s="397">
        <f>AVERAGE(C94,G98)</f>
        <v>0.511111111111111</v>
      </c>
      <c r="K101" s="406">
        <f t="shared" si="6"/>
        <v>0.433181818181818</v>
      </c>
      <c r="L101" s="309">
        <f t="shared" si="7"/>
        <v>0.377014925373134</v>
      </c>
      <c r="M101" s="88"/>
      <c r="N101" s="90"/>
      <c r="O101" s="349"/>
    </row>
    <row r="102" spans="1:15">
      <c r="A102" s="375"/>
      <c r="B102" s="376" t="s">
        <v>5</v>
      </c>
      <c r="C102" s="275"/>
      <c r="D102" s="267"/>
      <c r="E102" s="267"/>
      <c r="F102" s="311"/>
      <c r="G102" s="88"/>
      <c r="H102" s="90"/>
      <c r="I102" s="90"/>
      <c r="J102" s="407">
        <f>AVERAGE(C95,G99)</f>
        <v>0.25892535160476</v>
      </c>
      <c r="K102" s="408">
        <f t="shared" si="6"/>
        <v>0.499915254237288</v>
      </c>
      <c r="L102" s="409">
        <f t="shared" si="7"/>
        <v>0.0192307692307692</v>
      </c>
      <c r="M102" s="88"/>
      <c r="N102" s="90"/>
      <c r="O102" s="349"/>
    </row>
    <row r="103" ht="14.25" spans="1:15">
      <c r="A103" s="380" t="s">
        <v>12</v>
      </c>
      <c r="B103" s="376" t="s">
        <v>18</v>
      </c>
      <c r="C103" s="99"/>
      <c r="D103" s="100"/>
      <c r="E103" s="100"/>
      <c r="F103" s="308"/>
      <c r="G103" s="276">
        <v>0.032258064516129</v>
      </c>
      <c r="H103" s="100"/>
      <c r="I103" s="308"/>
      <c r="J103" s="278">
        <v>0.0465116279069767</v>
      </c>
      <c r="K103" s="90"/>
      <c r="L103" s="90"/>
      <c r="M103" s="99">
        <v>0.0281954887218045</v>
      </c>
      <c r="N103" s="405">
        <f t="shared" ref="N103:N105" si="8">AVERAGE(D93,H97)</f>
        <v>0.63</v>
      </c>
      <c r="O103" s="417">
        <f t="shared" ref="O103:O105" si="9">AVERAGE(E93,I97)</f>
        <v>0.5025</v>
      </c>
    </row>
    <row r="104" ht="14.25" spans="1:15">
      <c r="A104" s="380"/>
      <c r="B104" s="376" t="s">
        <v>4</v>
      </c>
      <c r="C104" s="88"/>
      <c r="D104" s="90"/>
      <c r="E104" s="90"/>
      <c r="F104" s="305"/>
      <c r="G104" s="88"/>
      <c r="H104" s="90"/>
      <c r="I104" s="305"/>
      <c r="J104" s="90"/>
      <c r="K104" s="90"/>
      <c r="L104" s="90"/>
      <c r="M104" s="397">
        <f>AVERAGE(C94,G98)</f>
        <v>0.511111111111111</v>
      </c>
      <c r="N104" s="406">
        <f t="shared" si="8"/>
        <v>0.433181818181818</v>
      </c>
      <c r="O104" s="418">
        <f t="shared" si="9"/>
        <v>0.377014925373134</v>
      </c>
    </row>
    <row r="105" ht="14.25" spans="1:15">
      <c r="A105" s="380"/>
      <c r="B105" s="381" t="s">
        <v>5</v>
      </c>
      <c r="C105" s="102"/>
      <c r="D105" s="103"/>
      <c r="E105" s="103"/>
      <c r="F105" s="333"/>
      <c r="G105" s="102"/>
      <c r="H105" s="103"/>
      <c r="I105" s="333"/>
      <c r="J105" s="103"/>
      <c r="K105" s="103"/>
      <c r="L105" s="103"/>
      <c r="M105" s="419">
        <f>AVERAGE(C95,G99)</f>
        <v>0.25892535160476</v>
      </c>
      <c r="N105" s="420">
        <f t="shared" si="8"/>
        <v>0.499915254237288</v>
      </c>
      <c r="O105" s="421">
        <f t="shared" si="9"/>
        <v>0.0192307692307692</v>
      </c>
    </row>
  </sheetData>
  <mergeCells count="48">
    <mergeCell ref="C1:F1"/>
    <mergeCell ref="G1:I1"/>
    <mergeCell ref="J1:L1"/>
    <mergeCell ref="M1:O1"/>
    <mergeCell ref="C17:F17"/>
    <mergeCell ref="G17:I17"/>
    <mergeCell ref="J17:L17"/>
    <mergeCell ref="M17:O17"/>
    <mergeCell ref="C36:F36"/>
    <mergeCell ref="G36:I36"/>
    <mergeCell ref="J36:L36"/>
    <mergeCell ref="M36:O36"/>
    <mergeCell ref="C55:F55"/>
    <mergeCell ref="G55:I55"/>
    <mergeCell ref="J55:L55"/>
    <mergeCell ref="M55:O55"/>
    <mergeCell ref="C73:F73"/>
    <mergeCell ref="G73:I73"/>
    <mergeCell ref="J73:L73"/>
    <mergeCell ref="M73:O73"/>
    <mergeCell ref="C91:F91"/>
    <mergeCell ref="G91:I91"/>
    <mergeCell ref="J91:L91"/>
    <mergeCell ref="M91:O91"/>
    <mergeCell ref="A3:A6"/>
    <mergeCell ref="A7:A9"/>
    <mergeCell ref="A10:A12"/>
    <mergeCell ref="A13:A15"/>
    <mergeCell ref="A19:A22"/>
    <mergeCell ref="A23:A25"/>
    <mergeCell ref="A26:A28"/>
    <mergeCell ref="A29:A31"/>
    <mergeCell ref="A38:A41"/>
    <mergeCell ref="A42:A44"/>
    <mergeCell ref="A45:A47"/>
    <mergeCell ref="A48:A50"/>
    <mergeCell ref="A57:A60"/>
    <mergeCell ref="A61:A63"/>
    <mergeCell ref="A64:A66"/>
    <mergeCell ref="A67:A69"/>
    <mergeCell ref="A75:A78"/>
    <mergeCell ref="A79:A81"/>
    <mergeCell ref="A82:A84"/>
    <mergeCell ref="A85:A87"/>
    <mergeCell ref="A93:A96"/>
    <mergeCell ref="A97:A99"/>
    <mergeCell ref="A100:A102"/>
    <mergeCell ref="A103:A105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workbookViewId="0">
      <pane ySplit="1" topLeftCell="A2" activePane="bottomLeft" state="frozen"/>
      <selection/>
      <selection pane="bottomLeft" activeCell="A7" sqref="A7"/>
    </sheetView>
  </sheetViews>
  <sheetFormatPr defaultColWidth="8.9" defaultRowHeight="14.5" outlineLevelCol="7"/>
  <cols>
    <col min="1" max="1" width="30.3" style="233" customWidth="1"/>
    <col min="2" max="2" width="16.8909090909091" style="233" customWidth="1"/>
    <col min="3" max="3" width="7" style="233" customWidth="1"/>
    <col min="4" max="4" width="6.10909090909091" style="233" customWidth="1"/>
    <col min="5" max="5" width="7.44545454545455" style="233" customWidth="1"/>
    <col min="6" max="6" width="9.33636363636364" style="233" customWidth="1"/>
    <col min="7" max="7" width="7.89090909090909" style="233" customWidth="1"/>
    <col min="8" max="16384" width="8.9" style="233"/>
  </cols>
  <sheetData>
    <row r="1" spans="1:8">
      <c r="A1" s="233" t="s">
        <v>29</v>
      </c>
      <c r="B1" s="233" t="s">
        <v>136</v>
      </c>
      <c r="C1" s="233" t="s">
        <v>137</v>
      </c>
      <c r="D1" s="233" t="s">
        <v>138</v>
      </c>
      <c r="E1" s="233" t="s">
        <v>139</v>
      </c>
      <c r="F1" s="233" t="s">
        <v>140</v>
      </c>
      <c r="G1" s="233" t="s">
        <v>141</v>
      </c>
      <c r="H1" s="233" t="s">
        <v>142</v>
      </c>
    </row>
    <row r="2" spans="1:8">
      <c r="A2" s="234" t="s">
        <v>143</v>
      </c>
      <c r="B2" s="235" t="s">
        <v>144</v>
      </c>
      <c r="C2" s="235">
        <v>39</v>
      </c>
      <c r="D2" s="234"/>
      <c r="E2" s="234"/>
      <c r="F2" s="234"/>
      <c r="G2" s="234" t="s">
        <v>145</v>
      </c>
      <c r="H2" s="234" t="s">
        <v>146</v>
      </c>
    </row>
    <row r="3" spans="1:8">
      <c r="A3" s="234" t="s">
        <v>147</v>
      </c>
      <c r="B3" s="236" t="s">
        <v>148</v>
      </c>
      <c r="C3" s="236">
        <v>39</v>
      </c>
      <c r="D3" s="234"/>
      <c r="E3" s="234"/>
      <c r="F3" s="234"/>
      <c r="G3" s="234" t="s">
        <v>149</v>
      </c>
      <c r="H3" s="234"/>
    </row>
    <row r="4" spans="1:8">
      <c r="A4" s="234"/>
      <c r="B4" s="237" t="s">
        <v>150</v>
      </c>
      <c r="C4" s="237">
        <v>157</v>
      </c>
      <c r="D4" s="234"/>
      <c r="E4" s="234"/>
      <c r="F4" s="234"/>
      <c r="G4" s="234" t="s">
        <v>151</v>
      </c>
      <c r="H4" s="234"/>
    </row>
    <row r="5" spans="1:8">
      <c r="A5" s="234"/>
      <c r="B5" s="234" t="s">
        <v>152</v>
      </c>
      <c r="C5" s="234">
        <v>104</v>
      </c>
      <c r="D5" s="234"/>
      <c r="E5" s="234"/>
      <c r="F5" s="234"/>
      <c r="G5" s="234" t="s">
        <v>153</v>
      </c>
      <c r="H5" s="234"/>
    </row>
    <row r="6" spans="2:7">
      <c r="B6" s="237"/>
      <c r="C6" s="237"/>
      <c r="D6" s="234"/>
      <c r="E6" s="234"/>
      <c r="F6" s="234"/>
      <c r="G6" s="234"/>
    </row>
    <row r="7" ht="72.5" spans="1:7">
      <c r="A7" s="238" t="s">
        <v>154</v>
      </c>
      <c r="B7" s="239" t="s">
        <v>155</v>
      </c>
      <c r="C7" s="239">
        <v>48</v>
      </c>
      <c r="D7" s="239">
        <f t="shared" ref="D7:D18" si="0">1000*E7/C7</f>
        <v>245.833333333333</v>
      </c>
      <c r="E7" s="239">
        <v>11.8</v>
      </c>
      <c r="F7" s="239">
        <v>-63.5</v>
      </c>
      <c r="G7" s="239">
        <v>-44.8</v>
      </c>
    </row>
    <row r="8" spans="1:7">
      <c r="A8" s="234" t="s">
        <v>156</v>
      </c>
      <c r="B8" s="239" t="s">
        <v>157</v>
      </c>
      <c r="C8" s="239">
        <v>27.1</v>
      </c>
      <c r="D8" s="239">
        <f t="shared" si="0"/>
        <v>612.546125461255</v>
      </c>
      <c r="E8" s="239">
        <v>16.6</v>
      </c>
      <c r="F8" s="239">
        <v>-59</v>
      </c>
      <c r="G8" s="239">
        <v>-50.5</v>
      </c>
    </row>
    <row r="9" spans="1:7">
      <c r="A9" s="234"/>
      <c r="B9" s="239" t="s">
        <v>158</v>
      </c>
      <c r="C9" s="239">
        <v>45.7</v>
      </c>
      <c r="D9" s="239">
        <f t="shared" si="0"/>
        <v>229.759299781182</v>
      </c>
      <c r="E9" s="239">
        <v>10.5</v>
      </c>
      <c r="F9" s="239">
        <v>-67.4</v>
      </c>
      <c r="G9" s="239">
        <v>-41.5</v>
      </c>
    </row>
    <row r="10" spans="1:7">
      <c r="A10" s="234"/>
      <c r="B10" s="240" t="s">
        <v>159</v>
      </c>
      <c r="C10" s="240">
        <v>49.4</v>
      </c>
      <c r="D10" s="240">
        <f t="shared" si="0"/>
        <v>80.9716599190283</v>
      </c>
      <c r="E10" s="240">
        <v>4</v>
      </c>
      <c r="F10" s="240">
        <v>-67.1</v>
      </c>
      <c r="G10" s="240">
        <v>-42.3</v>
      </c>
    </row>
    <row r="11" spans="1:7">
      <c r="A11" s="234"/>
      <c r="B11" s="240" t="s">
        <v>160</v>
      </c>
      <c r="C11" s="240">
        <v>33</v>
      </c>
      <c r="D11" s="240">
        <f t="shared" si="0"/>
        <v>93.9393939393939</v>
      </c>
      <c r="E11" s="240">
        <v>3.1</v>
      </c>
      <c r="F11" s="240">
        <v>-66.4</v>
      </c>
      <c r="G11" s="240">
        <v>-41.6</v>
      </c>
    </row>
    <row r="12" spans="1:7">
      <c r="A12" s="234"/>
      <c r="B12" s="241" t="s">
        <v>161</v>
      </c>
      <c r="C12" s="241">
        <v>79.7</v>
      </c>
      <c r="D12" s="241">
        <f t="shared" si="0"/>
        <v>146.800501882058</v>
      </c>
      <c r="E12" s="241">
        <v>11.7</v>
      </c>
      <c r="F12" s="241">
        <v>-63.2</v>
      </c>
      <c r="G12" s="241">
        <v>-48.1</v>
      </c>
    </row>
    <row r="13" spans="1:7">
      <c r="A13" s="234"/>
      <c r="B13" s="241" t="s">
        <v>162</v>
      </c>
      <c r="C13" s="241">
        <v>95.7</v>
      </c>
      <c r="D13" s="241">
        <f t="shared" si="0"/>
        <v>123.301985370951</v>
      </c>
      <c r="E13" s="241">
        <v>11.8</v>
      </c>
      <c r="F13" s="241">
        <v>-59.9</v>
      </c>
      <c r="G13" s="241">
        <v>-41.8</v>
      </c>
    </row>
    <row r="14" spans="1:7">
      <c r="A14" s="234"/>
      <c r="B14" s="242" t="s">
        <v>163</v>
      </c>
      <c r="C14" s="242">
        <v>126</v>
      </c>
      <c r="D14" s="242">
        <f t="shared" si="0"/>
        <v>86.5079365079365</v>
      </c>
      <c r="E14" s="242">
        <v>10.9</v>
      </c>
      <c r="F14" s="242">
        <v>-65.7</v>
      </c>
      <c r="G14" s="242">
        <v>-43.7</v>
      </c>
    </row>
    <row r="15" spans="2:7">
      <c r="B15" s="235" t="s">
        <v>164</v>
      </c>
      <c r="C15" s="235">
        <f>AVERAGE(C7:C9)</f>
        <v>40.2666666666667</v>
      </c>
      <c r="D15" s="235">
        <f t="shared" si="0"/>
        <v>322.019867549669</v>
      </c>
      <c r="E15" s="235">
        <f>AVERAGE(E7:E9)</f>
        <v>12.9666666666667</v>
      </c>
      <c r="F15" s="235">
        <f>AVERAGE(F7:F9)</f>
        <v>-63.3</v>
      </c>
      <c r="G15" s="235">
        <f>AVERAGE(G7:G9)</f>
        <v>-45.6</v>
      </c>
    </row>
    <row r="16" spans="2:7">
      <c r="B16" s="236" t="s">
        <v>165</v>
      </c>
      <c r="C16" s="236">
        <f>AVERAGE(C10:C11)</f>
        <v>41.2</v>
      </c>
      <c r="D16" s="236">
        <f t="shared" si="0"/>
        <v>86.1650485436893</v>
      </c>
      <c r="E16" s="236">
        <f>AVERAGE(E10:E11)</f>
        <v>3.55</v>
      </c>
      <c r="F16" s="236">
        <f>AVERAGE(F10:F11)</f>
        <v>-66.75</v>
      </c>
      <c r="G16" s="236">
        <f>AVERAGE(G10:G11)</f>
        <v>-41.95</v>
      </c>
    </row>
    <row r="17" spans="2:7">
      <c r="B17" s="237" t="s">
        <v>166</v>
      </c>
      <c r="C17" s="237">
        <f>AVERAGE(C12:C13)</f>
        <v>87.7</v>
      </c>
      <c r="D17" s="237">
        <f t="shared" si="0"/>
        <v>133.979475484607</v>
      </c>
      <c r="E17" s="237">
        <f>AVERAGE(E12:E13)</f>
        <v>11.75</v>
      </c>
      <c r="F17" s="237">
        <f>AVERAGE(F12:F13)</f>
        <v>-61.55</v>
      </c>
      <c r="G17" s="237">
        <f>AVERAGE(G12:G13)</f>
        <v>-44.95</v>
      </c>
    </row>
    <row r="18" spans="2:7">
      <c r="B18" s="243" t="s">
        <v>167</v>
      </c>
      <c r="C18" s="243">
        <f>C14</f>
        <v>126</v>
      </c>
      <c r="D18" s="243">
        <f t="shared" si="0"/>
        <v>86.5079365079365</v>
      </c>
      <c r="E18" s="243">
        <f>E14</f>
        <v>10.9</v>
      </c>
      <c r="F18" s="243">
        <f>F14</f>
        <v>-65.7</v>
      </c>
      <c r="G18" s="243">
        <f>G14</f>
        <v>-43.7</v>
      </c>
    </row>
    <row r="19" spans="2:7">
      <c r="B19" s="243"/>
      <c r="C19" s="243"/>
      <c r="D19" s="243"/>
      <c r="E19" s="243"/>
      <c r="F19" s="243"/>
      <c r="G19" s="243"/>
    </row>
    <row r="20" ht="26" customHeight="1" spans="1:8">
      <c r="A20" s="244" t="s">
        <v>168</v>
      </c>
      <c r="B20" s="241" t="s">
        <v>169</v>
      </c>
      <c r="C20" s="241">
        <v>132</v>
      </c>
      <c r="E20" s="233" t="s">
        <v>170</v>
      </c>
      <c r="F20" s="233">
        <v>-64.6</v>
      </c>
      <c r="G20" s="233">
        <v>-43.1</v>
      </c>
      <c r="H20" s="233" t="s">
        <v>171</v>
      </c>
    </row>
    <row r="21" spans="2:7">
      <c r="B21" s="241" t="s">
        <v>172</v>
      </c>
      <c r="C21" s="241">
        <v>122</v>
      </c>
      <c r="E21" s="233" t="s">
        <v>173</v>
      </c>
      <c r="F21" s="233">
        <v>-64.9</v>
      </c>
      <c r="G21" s="233">
        <v>-41.2</v>
      </c>
    </row>
    <row r="22" spans="2:7">
      <c r="B22" s="241" t="s">
        <v>174</v>
      </c>
      <c r="C22" s="241">
        <v>251</v>
      </c>
      <c r="E22" s="233" t="s">
        <v>175</v>
      </c>
      <c r="F22" s="233">
        <v>-59.5</v>
      </c>
      <c r="G22" s="233">
        <v>-42.3</v>
      </c>
    </row>
    <row r="23" spans="2:7">
      <c r="B23" s="241" t="s">
        <v>176</v>
      </c>
      <c r="C23" s="241">
        <v>265</v>
      </c>
      <c r="E23" s="233" t="s">
        <v>177</v>
      </c>
      <c r="F23" s="233">
        <v>-59.6</v>
      </c>
      <c r="G23" s="233">
        <v>-43</v>
      </c>
    </row>
    <row r="24" spans="3:3">
      <c r="C24" s="242"/>
    </row>
    <row r="25" ht="26.5" customHeight="1" spans="1:8">
      <c r="A25" s="244" t="s">
        <v>178</v>
      </c>
      <c r="B25" s="241" t="s">
        <v>179</v>
      </c>
      <c r="C25" s="241">
        <v>70.48</v>
      </c>
      <c r="E25" s="233">
        <v>8.1</v>
      </c>
      <c r="F25" s="233">
        <v>-61.76</v>
      </c>
      <c r="G25" s="233">
        <v>-39</v>
      </c>
      <c r="H25" s="233" t="s">
        <v>180</v>
      </c>
    </row>
    <row r="26" spans="1:7">
      <c r="A26" s="233" t="s">
        <v>181</v>
      </c>
      <c r="B26" s="245" t="s">
        <v>182</v>
      </c>
      <c r="C26" s="245">
        <v>226.15</v>
      </c>
      <c r="E26" s="233">
        <v>13.51</v>
      </c>
      <c r="F26" s="233">
        <v>-71.43</v>
      </c>
      <c r="G26" s="233">
        <v>-43.65</v>
      </c>
    </row>
    <row r="27" spans="2:7">
      <c r="B27" s="233" t="s">
        <v>183</v>
      </c>
      <c r="C27" s="233">
        <v>151.28</v>
      </c>
      <c r="E27" s="233">
        <v>12.55</v>
      </c>
      <c r="F27" s="233">
        <v>-67.64</v>
      </c>
      <c r="G27" s="233">
        <v>-33.93</v>
      </c>
    </row>
    <row r="29" spans="1:8">
      <c r="A29" s="233" t="s">
        <v>184</v>
      </c>
      <c r="B29" s="239" t="s">
        <v>158</v>
      </c>
      <c r="C29" s="239">
        <v>238</v>
      </c>
      <c r="E29" s="233" t="s">
        <v>185</v>
      </c>
      <c r="F29" s="233">
        <v>-75</v>
      </c>
      <c r="G29" s="233">
        <v>-51.5</v>
      </c>
      <c r="H29" s="233" t="s">
        <v>186</v>
      </c>
    </row>
    <row r="30" spans="2:7">
      <c r="B30" s="233" t="s">
        <v>187</v>
      </c>
      <c r="C30" s="233">
        <v>84</v>
      </c>
      <c r="E30" s="233" t="s">
        <v>170</v>
      </c>
      <c r="F30" s="233">
        <v>-70</v>
      </c>
      <c r="G30" s="233">
        <v>-41.6</v>
      </c>
    </row>
    <row r="32" ht="25" customHeight="1" spans="1:8">
      <c r="A32" s="244" t="s">
        <v>188</v>
      </c>
      <c r="B32" s="233" t="s">
        <v>189</v>
      </c>
      <c r="C32" s="233">
        <v>407</v>
      </c>
      <c r="F32" s="233">
        <v>-68.8</v>
      </c>
      <c r="G32" s="233">
        <v>-39</v>
      </c>
      <c r="H32" s="233" t="s">
        <v>190</v>
      </c>
    </row>
    <row r="33" spans="2:7">
      <c r="B33" s="240" t="s">
        <v>191</v>
      </c>
      <c r="C33" s="240">
        <v>474</v>
      </c>
      <c r="F33" s="233">
        <v>-72.2</v>
      </c>
      <c r="G33" s="233">
        <v>-36.6</v>
      </c>
    </row>
    <row r="35" ht="37.5" customHeight="1" spans="1:8">
      <c r="A35" s="244" t="s">
        <v>192</v>
      </c>
      <c r="B35" s="240" t="s">
        <v>193</v>
      </c>
      <c r="C35" s="240">
        <v>70.6</v>
      </c>
      <c r="E35" s="233">
        <v>2.8</v>
      </c>
      <c r="H35" s="233" t="s">
        <v>194</v>
      </c>
    </row>
    <row r="37" spans="1:6">
      <c r="A37" s="233" t="s">
        <v>195</v>
      </c>
      <c r="B37" s="239" t="s">
        <v>196</v>
      </c>
      <c r="C37" s="239">
        <v>133</v>
      </c>
      <c r="E37" s="233">
        <v>17</v>
      </c>
      <c r="F37" s="233">
        <v>-66</v>
      </c>
    </row>
    <row r="38" spans="2:6">
      <c r="B38" s="240" t="s">
        <v>197</v>
      </c>
      <c r="C38" s="240">
        <v>55</v>
      </c>
      <c r="E38" s="233">
        <v>8.8</v>
      </c>
      <c r="F38" s="233">
        <v>-64</v>
      </c>
    </row>
    <row r="39" spans="2:6">
      <c r="B39" s="241" t="s">
        <v>198</v>
      </c>
      <c r="C39" s="241">
        <v>82</v>
      </c>
      <c r="E39" s="233">
        <v>16.4</v>
      </c>
      <c r="F39" s="233">
        <v>-59</v>
      </c>
    </row>
    <row r="41" spans="2:7">
      <c r="B41" s="234"/>
      <c r="C41" s="234"/>
      <c r="D41" s="234"/>
      <c r="E41" s="234"/>
      <c r="F41" s="234"/>
      <c r="G41" s="234"/>
    </row>
    <row r="42" spans="1:7">
      <c r="A42" s="233" t="s">
        <v>199</v>
      </c>
      <c r="B42" s="239" t="s">
        <v>200</v>
      </c>
      <c r="C42" s="239"/>
      <c r="G42" s="233" t="s">
        <v>201</v>
      </c>
    </row>
    <row r="43" spans="2:7">
      <c r="B43" s="239" t="s">
        <v>202</v>
      </c>
      <c r="C43" s="239"/>
      <c r="G43" s="233" t="s">
        <v>203</v>
      </c>
    </row>
    <row r="44" spans="2:7">
      <c r="B44" s="239" t="s">
        <v>204</v>
      </c>
      <c r="C44" s="239"/>
      <c r="G44" s="233" t="s">
        <v>205</v>
      </c>
    </row>
    <row r="45" spans="2:7">
      <c r="B45" s="239" t="s">
        <v>206</v>
      </c>
      <c r="C45" s="239"/>
      <c r="G45" s="233" t="s">
        <v>207</v>
      </c>
    </row>
    <row r="48" spans="1:7">
      <c r="A48" s="233" t="s">
        <v>208</v>
      </c>
      <c r="B48" s="241" t="s">
        <v>209</v>
      </c>
      <c r="C48" s="241">
        <v>195.3</v>
      </c>
      <c r="F48" s="233">
        <v>-63.6</v>
      </c>
      <c r="G48" s="233">
        <v>-45.2</v>
      </c>
    </row>
    <row r="49" spans="1:7">
      <c r="A49" s="233" t="s">
        <v>210</v>
      </c>
      <c r="B49" s="241" t="s">
        <v>211</v>
      </c>
      <c r="C49" s="241">
        <v>282.3</v>
      </c>
      <c r="F49" s="233">
        <v>-63.3</v>
      </c>
      <c r="G49" s="233">
        <v>-52.7</v>
      </c>
    </row>
    <row r="50" spans="2:7">
      <c r="B50" s="241" t="s">
        <v>212</v>
      </c>
      <c r="C50" s="241">
        <v>83.2</v>
      </c>
      <c r="F50" s="233">
        <v>-63.9</v>
      </c>
      <c r="G50" s="233">
        <v>-46.3</v>
      </c>
    </row>
    <row r="53" spans="1:7">
      <c r="A53" s="233" t="s">
        <v>213</v>
      </c>
      <c r="B53" s="241" t="s">
        <v>214</v>
      </c>
      <c r="C53" s="241">
        <v>126.1</v>
      </c>
      <c r="E53" s="233">
        <v>9.1</v>
      </c>
      <c r="F53" s="233">
        <v>-66.3</v>
      </c>
      <c r="G53" s="233">
        <v>-42.2</v>
      </c>
    </row>
    <row r="54" spans="1:7">
      <c r="A54" s="233" t="s">
        <v>215</v>
      </c>
      <c r="B54" s="241" t="s">
        <v>216</v>
      </c>
      <c r="C54" s="241">
        <v>141.8</v>
      </c>
      <c r="E54" s="233">
        <v>9.1</v>
      </c>
      <c r="F54" s="233">
        <v>-66.6</v>
      </c>
      <c r="G54" s="233">
        <v>-48.2</v>
      </c>
    </row>
    <row r="55" spans="2:7">
      <c r="B55" s="240" t="s">
        <v>217</v>
      </c>
      <c r="C55" s="240">
        <v>84.5</v>
      </c>
      <c r="E55" s="233">
        <v>3.9</v>
      </c>
      <c r="F55" s="233">
        <v>-68.1</v>
      </c>
      <c r="G55" s="233">
        <v>-44.1</v>
      </c>
    </row>
    <row r="56" spans="2:7">
      <c r="B56" s="240" t="s">
        <v>218</v>
      </c>
      <c r="C56" s="240">
        <v>95.8</v>
      </c>
      <c r="E56" s="233">
        <v>4.9</v>
      </c>
      <c r="F56" s="233">
        <v>-68</v>
      </c>
      <c r="G56" s="233">
        <v>-47.1</v>
      </c>
    </row>
    <row r="57" spans="2:7">
      <c r="B57" s="233" t="s">
        <v>219</v>
      </c>
      <c r="C57" s="233">
        <v>131.6</v>
      </c>
      <c r="E57" s="233">
        <v>5.8</v>
      </c>
      <c r="F57" s="233">
        <v>-66.5</v>
      </c>
      <c r="G57" s="233">
        <v>-44.2</v>
      </c>
    </row>
    <row r="58" spans="2:7">
      <c r="B58" s="233" t="s">
        <v>220</v>
      </c>
      <c r="C58" s="233">
        <v>131.2</v>
      </c>
      <c r="E58" s="233">
        <v>4.2</v>
      </c>
      <c r="F58" s="233">
        <v>-77.4</v>
      </c>
      <c r="G58" s="233">
        <v>-46.4</v>
      </c>
    </row>
    <row r="59" spans="2:7">
      <c r="B59" s="233" t="s">
        <v>221</v>
      </c>
      <c r="C59" s="233">
        <v>76.7</v>
      </c>
      <c r="E59" s="233">
        <v>4.6</v>
      </c>
      <c r="F59" s="233">
        <v>-67.6</v>
      </c>
      <c r="G59" s="233">
        <v>-41.9</v>
      </c>
    </row>
    <row r="61" spans="2:7">
      <c r="B61" s="233" t="s">
        <v>136</v>
      </c>
      <c r="C61" s="233" t="s">
        <v>137</v>
      </c>
      <c r="D61" s="233" t="s">
        <v>138</v>
      </c>
      <c r="E61" s="233" t="s">
        <v>139</v>
      </c>
      <c r="F61" s="233" t="s">
        <v>140</v>
      </c>
      <c r="G61" s="233" t="s">
        <v>141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9"/>
  <sheetViews>
    <sheetView tabSelected="1" topLeftCell="A58" workbookViewId="0">
      <selection activeCell="H71" sqref="H71"/>
    </sheetView>
  </sheetViews>
  <sheetFormatPr defaultColWidth="9" defaultRowHeight="14"/>
  <cols>
    <col min="1" max="1" width="11.1818181818182" style="188" customWidth="1"/>
    <col min="2" max="2" width="14.1" style="188" customWidth="1"/>
    <col min="3" max="3" width="8.97272727272727" style="188" customWidth="1"/>
    <col min="4" max="4" width="10.4636363636364" style="188" customWidth="1"/>
    <col min="5" max="18" width="8.97272727272727" style="188" customWidth="1"/>
    <col min="19" max="19" width="12.5" style="188" customWidth="1"/>
    <col min="20" max="1025" width="8.5" style="188" customWidth="1"/>
    <col min="1026" max="16384" width="9" style="188"/>
  </cols>
  <sheetData>
    <row r="1" spans="1:8">
      <c r="A1" s="189" t="s">
        <v>222</v>
      </c>
      <c r="H1" s="206"/>
    </row>
    <row r="2" spans="1:12">
      <c r="A2" s="188" t="s">
        <v>223</v>
      </c>
      <c r="B2" s="190" t="s">
        <v>224</v>
      </c>
      <c r="C2" s="191" t="s">
        <v>225</v>
      </c>
      <c r="D2" s="191" t="s">
        <v>126</v>
      </c>
      <c r="E2" s="188" t="s">
        <v>226</v>
      </c>
      <c r="F2" s="189" t="s">
        <v>227</v>
      </c>
      <c r="G2" s="189" t="s">
        <v>228</v>
      </c>
      <c r="H2" s="191" t="s">
        <v>229</v>
      </c>
      <c r="I2" s="191" t="s">
        <v>225</v>
      </c>
      <c r="J2" s="188" t="s">
        <v>230</v>
      </c>
      <c r="K2" s="188" t="s">
        <v>226</v>
      </c>
      <c r="L2" s="188" t="s">
        <v>231</v>
      </c>
    </row>
    <row r="3" spans="1:12">
      <c r="A3" s="192" t="s">
        <v>232</v>
      </c>
      <c r="B3" s="193">
        <v>2.7</v>
      </c>
      <c r="C3" s="194">
        <v>3.7</v>
      </c>
      <c r="D3" s="194">
        <v>5</v>
      </c>
      <c r="E3" s="213">
        <f>C3/SQRT(D3)</f>
        <v>1.65469030334984</v>
      </c>
      <c r="F3" s="214">
        <f>MAX(0,B3-C3)</f>
        <v>0</v>
      </c>
      <c r="G3" s="214">
        <f>B3+C3</f>
        <v>6.4</v>
      </c>
      <c r="H3" s="192">
        <v>2.5</v>
      </c>
      <c r="I3" s="221">
        <v>3.9</v>
      </c>
      <c r="J3" s="188">
        <v>0.743</v>
      </c>
      <c r="K3" s="188">
        <f>(J3-B3)^2</f>
        <v>3.829849</v>
      </c>
      <c r="L3" s="188">
        <f>SQRT(AVERAGE(K3:K15))</f>
        <v>5.62939349103641</v>
      </c>
    </row>
    <row r="4" spans="1:11">
      <c r="A4" s="195" t="s">
        <v>233</v>
      </c>
      <c r="B4" s="196">
        <v>13.8</v>
      </c>
      <c r="C4" s="197">
        <v>8.9</v>
      </c>
      <c r="D4" s="197">
        <v>8</v>
      </c>
      <c r="E4" s="213">
        <f t="shared" ref="E4:E15" si="0">C4/SQRT(D4)</f>
        <v>3.14662517628014</v>
      </c>
      <c r="F4" s="214">
        <f t="shared" ref="F4:F15" si="1">MAX(0,B4-C4)</f>
        <v>4.9</v>
      </c>
      <c r="G4" s="214">
        <f t="shared" ref="G4:G15" si="2">B4+C4</f>
        <v>22.7</v>
      </c>
      <c r="H4" s="195">
        <v>14.4</v>
      </c>
      <c r="I4" s="222">
        <v>11.9</v>
      </c>
      <c r="J4" s="188">
        <v>8.152</v>
      </c>
      <c r="K4" s="188">
        <f t="shared" ref="K4:K15" si="3">(J4-B4)^2</f>
        <v>31.899904</v>
      </c>
    </row>
    <row r="5" spans="1:11">
      <c r="A5" s="198" t="s">
        <v>234</v>
      </c>
      <c r="B5" s="199">
        <v>2.6</v>
      </c>
      <c r="C5" s="200">
        <v>3.6</v>
      </c>
      <c r="D5" s="200">
        <v>9</v>
      </c>
      <c r="E5" s="213">
        <f t="shared" si="0"/>
        <v>1.2</v>
      </c>
      <c r="F5" s="214">
        <f t="shared" si="1"/>
        <v>0</v>
      </c>
      <c r="G5" s="214">
        <f t="shared" si="2"/>
        <v>6.2</v>
      </c>
      <c r="H5" s="201">
        <v>1.3</v>
      </c>
      <c r="I5" s="223">
        <v>1.7</v>
      </c>
      <c r="J5" s="188">
        <v>1.283</v>
      </c>
      <c r="K5" s="188">
        <f t="shared" si="3"/>
        <v>1.734489</v>
      </c>
    </row>
    <row r="6" spans="1:11">
      <c r="A6" s="201" t="s">
        <v>6</v>
      </c>
      <c r="B6" s="202">
        <v>14.6</v>
      </c>
      <c r="C6" s="203">
        <v>7.3</v>
      </c>
      <c r="D6" s="203">
        <v>9</v>
      </c>
      <c r="E6" s="213">
        <f t="shared" si="0"/>
        <v>2.43333333333333</v>
      </c>
      <c r="F6" s="214">
        <f t="shared" si="1"/>
        <v>7.3</v>
      </c>
      <c r="G6" s="214">
        <f t="shared" si="2"/>
        <v>21.9</v>
      </c>
      <c r="H6" s="215">
        <v>23</v>
      </c>
      <c r="I6" s="224">
        <v>13.2</v>
      </c>
      <c r="J6" s="188">
        <v>4.603</v>
      </c>
      <c r="K6" s="188">
        <f t="shared" si="3"/>
        <v>99.940009</v>
      </c>
    </row>
    <row r="7" spans="1:11">
      <c r="A7" s="192" t="s">
        <v>235</v>
      </c>
      <c r="B7" s="193">
        <v>0.5</v>
      </c>
      <c r="C7" s="194">
        <v>0.8</v>
      </c>
      <c r="D7" s="194">
        <v>95</v>
      </c>
      <c r="E7" s="213">
        <f t="shared" si="0"/>
        <v>0.0820782681668123</v>
      </c>
      <c r="F7" s="214">
        <f t="shared" si="1"/>
        <v>0</v>
      </c>
      <c r="G7" s="214">
        <f t="shared" si="2"/>
        <v>1.3</v>
      </c>
      <c r="H7" s="192">
        <v>0.7</v>
      </c>
      <c r="I7" s="221">
        <v>1.2</v>
      </c>
      <c r="J7" s="188">
        <v>1.271</v>
      </c>
      <c r="K7" s="188">
        <f t="shared" si="3"/>
        <v>0.594441</v>
      </c>
    </row>
    <row r="8" spans="1:11">
      <c r="A8" s="195" t="s">
        <v>236</v>
      </c>
      <c r="B8" s="196">
        <v>10.2</v>
      </c>
      <c r="C8" s="197">
        <v>7.2</v>
      </c>
      <c r="D8" s="197">
        <v>43</v>
      </c>
      <c r="E8" s="213">
        <f t="shared" si="0"/>
        <v>1.09798970639475</v>
      </c>
      <c r="F8" s="214">
        <f t="shared" si="1"/>
        <v>3</v>
      </c>
      <c r="G8" s="214">
        <f t="shared" si="2"/>
        <v>17.4</v>
      </c>
      <c r="H8" s="195">
        <v>21.3</v>
      </c>
      <c r="I8" s="222">
        <v>14.6</v>
      </c>
      <c r="J8" s="188">
        <v>17.561</v>
      </c>
      <c r="K8" s="188">
        <f t="shared" si="3"/>
        <v>54.184321</v>
      </c>
    </row>
    <row r="9" spans="1:11">
      <c r="A9" s="201" t="s">
        <v>237</v>
      </c>
      <c r="B9" s="199">
        <v>2.6</v>
      </c>
      <c r="C9" s="200">
        <v>3.2</v>
      </c>
      <c r="D9" s="200">
        <v>27</v>
      </c>
      <c r="E9" s="213">
        <f t="shared" si="0"/>
        <v>0.615840287135601</v>
      </c>
      <c r="F9" s="214">
        <f t="shared" si="1"/>
        <v>0</v>
      </c>
      <c r="G9" s="214">
        <f t="shared" si="2"/>
        <v>5.8</v>
      </c>
      <c r="H9" s="215">
        <v>3</v>
      </c>
      <c r="I9" s="224">
        <v>3.4</v>
      </c>
      <c r="J9" s="188">
        <v>3.057</v>
      </c>
      <c r="K9" s="188">
        <f t="shared" si="3"/>
        <v>0.208849</v>
      </c>
    </row>
    <row r="10" spans="1:11">
      <c r="A10" s="192" t="s">
        <v>238</v>
      </c>
      <c r="B10" s="193">
        <v>6.8</v>
      </c>
      <c r="C10" s="194">
        <v>5.2</v>
      </c>
      <c r="D10" s="194">
        <v>23</v>
      </c>
      <c r="E10" s="213">
        <f t="shared" si="0"/>
        <v>1.08427495309679</v>
      </c>
      <c r="F10" s="214">
        <f t="shared" si="1"/>
        <v>1.6</v>
      </c>
      <c r="G10" s="214">
        <f t="shared" si="2"/>
        <v>12</v>
      </c>
      <c r="H10" s="192">
        <v>7.7</v>
      </c>
      <c r="I10" s="221">
        <v>6.2</v>
      </c>
      <c r="J10" s="188">
        <v>0.788</v>
      </c>
      <c r="K10" s="188">
        <f t="shared" si="3"/>
        <v>36.144144</v>
      </c>
    </row>
    <row r="11" spans="1:11">
      <c r="A11" s="195" t="s">
        <v>239</v>
      </c>
      <c r="B11" s="196">
        <v>7.5</v>
      </c>
      <c r="C11" s="197">
        <v>5.2</v>
      </c>
      <c r="D11" s="197">
        <v>7</v>
      </c>
      <c r="E11" s="213">
        <f t="shared" si="0"/>
        <v>1.96541525964798</v>
      </c>
      <c r="F11" s="214">
        <f t="shared" si="1"/>
        <v>2.3</v>
      </c>
      <c r="G11" s="214">
        <f t="shared" si="2"/>
        <v>12.7</v>
      </c>
      <c r="H11" s="195">
        <v>20.6</v>
      </c>
      <c r="I11" s="222">
        <v>32.7</v>
      </c>
      <c r="J11" s="188">
        <v>8.332</v>
      </c>
      <c r="K11" s="188">
        <f t="shared" si="3"/>
        <v>0.692224000000001</v>
      </c>
    </row>
    <row r="12" spans="1:11">
      <c r="A12" s="201" t="s">
        <v>240</v>
      </c>
      <c r="B12" s="199">
        <v>2.8</v>
      </c>
      <c r="C12" s="200">
        <v>4.5</v>
      </c>
      <c r="D12" s="200">
        <v>18</v>
      </c>
      <c r="E12" s="213">
        <f t="shared" si="0"/>
        <v>1.06066017177982</v>
      </c>
      <c r="F12" s="214">
        <f t="shared" si="1"/>
        <v>0</v>
      </c>
      <c r="G12" s="214">
        <f t="shared" si="2"/>
        <v>7.3</v>
      </c>
      <c r="H12" s="215">
        <v>2.8</v>
      </c>
      <c r="I12" s="224">
        <v>5.4</v>
      </c>
      <c r="J12" s="188">
        <v>2.464</v>
      </c>
      <c r="K12" s="188">
        <f t="shared" si="3"/>
        <v>0.112896</v>
      </c>
    </row>
    <row r="13" spans="1:11">
      <c r="A13" s="192" t="s">
        <v>241</v>
      </c>
      <c r="B13" s="193">
        <v>6.1</v>
      </c>
      <c r="C13" s="194">
        <v>6.9</v>
      </c>
      <c r="D13" s="194">
        <v>30</v>
      </c>
      <c r="E13" s="213">
        <f t="shared" si="0"/>
        <v>1.25976188226188</v>
      </c>
      <c r="F13" s="214">
        <f t="shared" si="1"/>
        <v>0</v>
      </c>
      <c r="G13" s="214">
        <f t="shared" si="2"/>
        <v>13</v>
      </c>
      <c r="H13" s="192">
        <v>7.8</v>
      </c>
      <c r="I13" s="221">
        <v>10.6</v>
      </c>
      <c r="J13" s="188">
        <v>2.962</v>
      </c>
      <c r="K13" s="188">
        <f t="shared" si="3"/>
        <v>9.847044</v>
      </c>
    </row>
    <row r="14" spans="1:11">
      <c r="A14" s="195" t="s">
        <v>242</v>
      </c>
      <c r="B14" s="196">
        <v>16.9</v>
      </c>
      <c r="C14" s="197">
        <v>14.3</v>
      </c>
      <c r="D14" s="197">
        <v>15</v>
      </c>
      <c r="E14" s="213">
        <f t="shared" si="0"/>
        <v>3.6922441233844</v>
      </c>
      <c r="F14" s="214">
        <f t="shared" si="1"/>
        <v>2.6</v>
      </c>
      <c r="G14" s="214">
        <f t="shared" si="2"/>
        <v>31.2</v>
      </c>
      <c r="H14" s="195">
        <v>24.3</v>
      </c>
      <c r="I14" s="222">
        <v>11.7</v>
      </c>
      <c r="J14" s="188">
        <v>27.155</v>
      </c>
      <c r="K14" s="188">
        <f t="shared" si="3"/>
        <v>105.165025</v>
      </c>
    </row>
    <row r="15" spans="1:11">
      <c r="A15" s="201" t="s">
        <v>243</v>
      </c>
      <c r="B15" s="199">
        <v>3.9</v>
      </c>
      <c r="C15" s="200">
        <v>4.9</v>
      </c>
      <c r="D15" s="200">
        <v>26</v>
      </c>
      <c r="E15" s="213">
        <f t="shared" si="0"/>
        <v>0.960969062177102</v>
      </c>
      <c r="F15" s="214">
        <f t="shared" si="1"/>
        <v>0</v>
      </c>
      <c r="G15" s="214">
        <f t="shared" si="2"/>
        <v>8.8</v>
      </c>
      <c r="H15" s="215">
        <v>6.1</v>
      </c>
      <c r="I15" s="224">
        <v>7.5</v>
      </c>
      <c r="J15" s="188">
        <v>12.123</v>
      </c>
      <c r="K15" s="188">
        <f t="shared" si="3"/>
        <v>67.617729</v>
      </c>
    </row>
    <row r="17" spans="1:4">
      <c r="A17" s="188" t="s">
        <v>223</v>
      </c>
      <c r="B17" s="188" t="s">
        <v>244</v>
      </c>
      <c r="C17" s="188" t="s">
        <v>245</v>
      </c>
      <c r="D17" s="188" t="s">
        <v>246</v>
      </c>
    </row>
    <row r="18" spans="1:1">
      <c r="A18" s="188" t="s">
        <v>247</v>
      </c>
    </row>
    <row r="19" spans="1:5">
      <c r="A19" s="188" t="s">
        <v>234</v>
      </c>
      <c r="B19" s="188" t="s">
        <v>248</v>
      </c>
      <c r="C19" s="204" t="s">
        <v>249</v>
      </c>
      <c r="D19" s="188" t="s">
        <v>250</v>
      </c>
      <c r="E19" s="216"/>
    </row>
    <row r="20" spans="1:5">
      <c r="A20" s="188" t="s">
        <v>233</v>
      </c>
      <c r="B20" s="188" t="s">
        <v>251</v>
      </c>
      <c r="C20" s="196" t="s">
        <v>252</v>
      </c>
      <c r="D20" s="188" t="s">
        <v>253</v>
      </c>
      <c r="E20" s="216"/>
    </row>
    <row r="21" spans="1:5">
      <c r="A21" s="188" t="s">
        <v>254</v>
      </c>
      <c r="B21" s="188" t="s">
        <v>255</v>
      </c>
      <c r="C21" s="199" t="s">
        <v>256</v>
      </c>
      <c r="D21" s="188" t="s">
        <v>257</v>
      </c>
      <c r="E21" s="216"/>
    </row>
    <row r="22" ht="17" customHeight="1" spans="1:6">
      <c r="A22" s="188" t="s">
        <v>258</v>
      </c>
      <c r="B22" s="188" t="s">
        <v>259</v>
      </c>
      <c r="C22" s="205" t="s">
        <v>260</v>
      </c>
      <c r="D22" s="188" t="s">
        <v>261</v>
      </c>
      <c r="E22" s="217"/>
      <c r="F22" s="218"/>
    </row>
    <row r="23" spans="1:1">
      <c r="A23" s="206" t="s">
        <v>262</v>
      </c>
    </row>
    <row r="24" spans="1:5">
      <c r="A24" s="206" t="s">
        <v>25</v>
      </c>
      <c r="C24" s="193">
        <v>0.31</v>
      </c>
      <c r="E24" s="216"/>
    </row>
    <row r="25" spans="1:5">
      <c r="A25" s="206" t="s">
        <v>10</v>
      </c>
      <c r="C25" s="193">
        <v>1.93</v>
      </c>
      <c r="E25" s="216"/>
    </row>
    <row r="26" spans="1:5">
      <c r="A26" s="206" t="s">
        <v>263</v>
      </c>
      <c r="C26" s="193">
        <v>1.62</v>
      </c>
      <c r="E26" s="216"/>
    </row>
    <row r="27" spans="1:5">
      <c r="A27" s="206" t="s">
        <v>264</v>
      </c>
      <c r="C27" s="193">
        <v>4.12</v>
      </c>
      <c r="E27" s="216"/>
    </row>
    <row r="28" spans="1:5">
      <c r="A28" s="206" t="s">
        <v>12</v>
      </c>
      <c r="C28" s="193">
        <v>0.52</v>
      </c>
      <c r="E28" s="216"/>
    </row>
    <row r="33" ht="27" customHeight="1" spans="1:2">
      <c r="A33" s="207" t="s">
        <v>265</v>
      </c>
      <c r="B33" s="208" t="s">
        <v>266</v>
      </c>
    </row>
    <row r="34" spans="1:1">
      <c r="A34" s="209" t="s">
        <v>267</v>
      </c>
    </row>
    <row r="35" spans="1:5">
      <c r="A35" s="210"/>
      <c r="B35" s="210" t="s">
        <v>25</v>
      </c>
      <c r="C35" s="210" t="s">
        <v>10</v>
      </c>
      <c r="D35" s="210" t="s">
        <v>11</v>
      </c>
      <c r="E35" s="210" t="s">
        <v>12</v>
      </c>
    </row>
    <row r="36" spans="1:14">
      <c r="A36" s="210" t="s">
        <v>25</v>
      </c>
      <c r="B36" s="211">
        <f>(SUMPRODUCT(B50:C51,B66:C67)/SUM(B66:C67))</f>
        <v>0.700092592592593</v>
      </c>
      <c r="C36" s="211">
        <f>(SUMPRODUCT(D50:D51,D66:D67)/SUM(D66:D67))</f>
        <v>0.78</v>
      </c>
      <c r="D36" s="211">
        <f>(SUMPRODUCT(E50:F51,E66:F67)/SUM(E66:F67))</f>
        <v>0.467333333333333</v>
      </c>
      <c r="E36" s="212">
        <f>AVERAGE(E38:E39)</f>
        <v>0.378333333333334</v>
      </c>
      <c r="G36" s="219"/>
      <c r="H36" s="219"/>
      <c r="I36" s="219"/>
      <c r="J36" s="219"/>
      <c r="L36" s="219"/>
      <c r="M36" s="219"/>
      <c r="N36" s="219"/>
    </row>
    <row r="37" spans="1:14">
      <c r="A37" s="210" t="s">
        <v>10</v>
      </c>
      <c r="B37" s="211">
        <f t="shared" ref="B37:B39" si="4">SUMPRODUCT(B52:C52,B68:C68)/SUM(B68:C68)</f>
        <v>0.343333333333333</v>
      </c>
      <c r="C37" s="211">
        <f>D52</f>
        <v>0.95</v>
      </c>
      <c r="D37" s="211">
        <f>SUMPRODUCT(E52:F52,E68:F68)/SUM(E68:F68)</f>
        <v>0.376666666666667</v>
      </c>
      <c r="E37" s="212">
        <f>AVERAGE(E38:E39)</f>
        <v>0.378333333333334</v>
      </c>
      <c r="G37" s="219"/>
      <c r="H37" s="219"/>
      <c r="I37" s="219"/>
      <c r="J37" s="219"/>
      <c r="L37" s="219"/>
      <c r="M37" s="219"/>
      <c r="N37" s="219"/>
    </row>
    <row r="38" spans="1:14">
      <c r="A38" s="210" t="s">
        <v>11</v>
      </c>
      <c r="B38" s="211">
        <f>SUMPRODUCT(B53:C54,B69:C70)/SUM(B69:C70)</f>
        <v>0.700555555555555</v>
      </c>
      <c r="C38" s="211">
        <f>SUMPRODUCT(D53:D54,D69:D70)/SUM(D69:D70)</f>
        <v>0.626976744186047</v>
      </c>
      <c r="D38" s="211">
        <f>(SUMPRODUCT(E53:F54,E69:F70)/SUM(E69:F70))</f>
        <v>0.676255319148936</v>
      </c>
      <c r="E38" s="211">
        <f>(SUMPRODUCT(G53:G54,G69:G70)/SUM(G69:G70))</f>
        <v>0.226666666666667</v>
      </c>
      <c r="F38" s="188" t="s">
        <v>268</v>
      </c>
      <c r="G38" s="219"/>
      <c r="H38" s="219"/>
      <c r="I38" s="219"/>
      <c r="J38" s="219"/>
      <c r="L38" s="219"/>
      <c r="M38" s="219"/>
      <c r="N38" s="219"/>
    </row>
    <row r="39" spans="1:14">
      <c r="A39" s="210" t="s">
        <v>12</v>
      </c>
      <c r="B39" s="212">
        <f>AVERAGE(B36:B38)</f>
        <v>0.581327160493827</v>
      </c>
      <c r="C39" s="211">
        <f>D55</f>
        <v>2.27</v>
      </c>
      <c r="D39" s="211">
        <f>(SUMPRODUCT(E55:F55,E71:F71)/SUM(E71:F71))</f>
        <v>0.4025</v>
      </c>
      <c r="E39" s="211">
        <f>G55</f>
        <v>0.53</v>
      </c>
      <c r="F39" s="219">
        <f>AVERAGE(B36:D38,E38,C39:E39)</f>
        <v>0.69618309319101</v>
      </c>
      <c r="G39" s="219"/>
      <c r="H39" s="219"/>
      <c r="I39" s="219"/>
      <c r="J39" s="219"/>
      <c r="L39" s="219"/>
      <c r="M39" s="219"/>
      <c r="N39" s="219"/>
    </row>
    <row r="40" spans="2:12">
      <c r="B40" s="213"/>
      <c r="C40" s="213"/>
      <c r="D40" s="213"/>
      <c r="E40" s="213"/>
      <c r="L40" s="219"/>
    </row>
    <row r="41" spans="1:12">
      <c r="A41" s="189" t="s">
        <v>269</v>
      </c>
      <c r="G41" s="209" t="s">
        <v>270</v>
      </c>
      <c r="L41" s="219"/>
    </row>
    <row r="42" spans="2:12">
      <c r="B42" s="188" t="s">
        <v>25</v>
      </c>
      <c r="C42" s="188" t="s">
        <v>10</v>
      </c>
      <c r="D42" s="188" t="s">
        <v>11</v>
      </c>
      <c r="E42" s="188" t="s">
        <v>12</v>
      </c>
      <c r="G42" s="188" t="s">
        <v>25</v>
      </c>
      <c r="H42" s="188" t="s">
        <v>10</v>
      </c>
      <c r="I42" s="188" t="s">
        <v>11</v>
      </c>
      <c r="J42" s="188" t="s">
        <v>12</v>
      </c>
      <c r="L42" s="219"/>
    </row>
    <row r="43" spans="1:12">
      <c r="A43" s="188" t="s">
        <v>25</v>
      </c>
      <c r="B43" s="213">
        <f>SQRT(SUMPRODUCT(B58:C59,B74:C75)/SUM(B74:C75))</f>
        <v>0.627113784024245</v>
      </c>
      <c r="C43" s="213">
        <f>SQRT(SUMPRODUCT(D58:D59,D74:D75)/SUM(D74:D75))</f>
        <v>0.965012953280939</v>
      </c>
      <c r="D43" s="213">
        <f>SQRT((E58*E74+F59*F75)/(E74+F75))</f>
        <v>0.354288018425687</v>
      </c>
      <c r="E43" s="213">
        <v>0</v>
      </c>
      <c r="G43" s="219">
        <f>B43/B36</f>
        <v>0.895758347766412</v>
      </c>
      <c r="H43" s="219">
        <f>C43/C36</f>
        <v>1.23719609394992</v>
      </c>
      <c r="I43" s="219">
        <f>D43/D36</f>
        <v>0.758105602908033</v>
      </c>
      <c r="J43" s="220">
        <f>J46</f>
        <v>1.38842799203662</v>
      </c>
      <c r="L43" s="219"/>
    </row>
    <row r="44" spans="1:12">
      <c r="A44" s="188" t="s">
        <v>10</v>
      </c>
      <c r="B44" s="213">
        <f>SQRT(C60)</f>
        <v>0.18</v>
      </c>
      <c r="C44" s="213">
        <f>SQRT(D60)</f>
        <v>1.27499019604074</v>
      </c>
      <c r="D44" s="213">
        <v>0</v>
      </c>
      <c r="E44" s="213">
        <v>0</v>
      </c>
      <c r="G44" s="219">
        <f>B44/B37</f>
        <v>0.524271844660195</v>
      </c>
      <c r="H44" s="219">
        <f>C44/C37</f>
        <v>1.34209494320078</v>
      </c>
      <c r="I44" s="220">
        <f>AVERAGE(I43,I45,I46)</f>
        <v>0.956619127770429</v>
      </c>
      <c r="J44" s="220">
        <f>J46</f>
        <v>1.38842799203662</v>
      </c>
      <c r="L44" s="219"/>
    </row>
    <row r="45" spans="1:12">
      <c r="A45" s="188" t="s">
        <v>11</v>
      </c>
      <c r="B45" s="213">
        <f>SQRT(SUMPRODUCT(B61:C62,B77:C78)/SUM(B77:C78))</f>
        <v>0.736955900987298</v>
      </c>
      <c r="C45" s="213">
        <f>SQRT(SUMPRODUCT(D61:D62,D77:D78)/SUM(D77:D78))</f>
        <v>0.603045118240871</v>
      </c>
      <c r="D45" s="213">
        <f>(SUMPRODUCT(E61:F62,E77:F78)/SUM(E77:F78))</f>
        <v>0.837114285714286</v>
      </c>
      <c r="E45" s="213">
        <v>0</v>
      </c>
      <c r="F45" s="188" t="s">
        <v>268</v>
      </c>
      <c r="G45" s="219">
        <f>B45/B38</f>
        <v>1.05195925596918</v>
      </c>
      <c r="H45" s="219">
        <f>C45/C38</f>
        <v>0.961830121823347</v>
      </c>
      <c r="I45" s="219">
        <f>D45/D38</f>
        <v>1.23786721081587</v>
      </c>
      <c r="J45" s="220">
        <f>J46</f>
        <v>1.38842799203662</v>
      </c>
      <c r="L45" s="219"/>
    </row>
    <row r="46" spans="1:12">
      <c r="A46" s="188" t="s">
        <v>12</v>
      </c>
      <c r="B46" s="213">
        <v>0</v>
      </c>
      <c r="C46" s="213">
        <f>SQRT(D63)</f>
        <v>2.97912738901847</v>
      </c>
      <c r="D46" s="213">
        <f>SQRT(SUMPRODUCT(E63:F63,E79:F79)/SUM(E79:F79))</f>
        <v>0.351738539258922</v>
      </c>
      <c r="E46" s="213">
        <f>SQRT(G63)</f>
        <v>0.735866835779409</v>
      </c>
      <c r="F46" s="188">
        <f>AVERAGEIF(B43:E46,"&gt;0")</f>
        <v>0.876841183706442</v>
      </c>
      <c r="G46" s="220">
        <f>AVERAGE(G43:G45)</f>
        <v>0.823996482798596</v>
      </c>
      <c r="H46" s="219">
        <f>C46/C39</f>
        <v>1.31239092027245</v>
      </c>
      <c r="I46" s="219">
        <f>D46/D39</f>
        <v>0.873884569587384</v>
      </c>
      <c r="J46" s="219">
        <f>E46/E39</f>
        <v>1.38842799203662</v>
      </c>
      <c r="L46" s="219"/>
    </row>
    <row r="47" spans="2:12">
      <c r="B47" s="213"/>
      <c r="C47" s="213"/>
      <c r="D47" s="213"/>
      <c r="E47" s="213"/>
      <c r="L47" s="219"/>
    </row>
    <row r="48" spans="1:12">
      <c r="A48" s="188" t="s">
        <v>271</v>
      </c>
      <c r="L48" s="219"/>
    </row>
    <row r="49" spans="1:7">
      <c r="A49" s="189" t="s">
        <v>272</v>
      </c>
      <c r="B49" s="188" t="s">
        <v>273</v>
      </c>
      <c r="C49" s="188" t="s">
        <v>274</v>
      </c>
      <c r="D49" s="188" t="s">
        <v>10</v>
      </c>
      <c r="E49" s="188" t="s">
        <v>275</v>
      </c>
      <c r="F49" s="188" t="s">
        <v>276</v>
      </c>
      <c r="G49" s="188" t="s">
        <v>12</v>
      </c>
    </row>
    <row r="50" spans="1:7">
      <c r="A50" s="188" t="s">
        <v>273</v>
      </c>
      <c r="B50" s="188">
        <v>0.64</v>
      </c>
      <c r="C50" s="188">
        <v>0.71</v>
      </c>
      <c r="D50" s="188">
        <v>0.98</v>
      </c>
      <c r="E50" s="188">
        <v>0.52</v>
      </c>
      <c r="F50" s="188">
        <v>0.21</v>
      </c>
      <c r="G50" s="188">
        <v>0</v>
      </c>
    </row>
    <row r="51" spans="1:7">
      <c r="A51" s="188" t="s">
        <v>274</v>
      </c>
      <c r="B51" s="188">
        <v>0.44</v>
      </c>
      <c r="C51" s="188">
        <v>0.78</v>
      </c>
      <c r="D51" s="188">
        <v>0.58</v>
      </c>
      <c r="E51" s="188">
        <v>0.67</v>
      </c>
      <c r="F51" s="188">
        <v>0.26</v>
      </c>
      <c r="G51" s="188">
        <v>0</v>
      </c>
    </row>
    <row r="52" spans="1:7">
      <c r="A52" s="188" t="s">
        <v>10</v>
      </c>
      <c r="B52" s="188">
        <v>0.31</v>
      </c>
      <c r="C52" s="188">
        <v>0.36</v>
      </c>
      <c r="D52" s="188">
        <v>0.95</v>
      </c>
      <c r="E52" s="188">
        <v>0.48</v>
      </c>
      <c r="F52" s="188">
        <v>0.17</v>
      </c>
      <c r="G52" s="188">
        <v>0</v>
      </c>
    </row>
    <row r="53" spans="1:7">
      <c r="A53" s="188" t="s">
        <v>275</v>
      </c>
      <c r="B53" s="188">
        <v>0.55</v>
      </c>
      <c r="C53" s="188">
        <v>0.93</v>
      </c>
      <c r="D53" s="188">
        <v>0.54</v>
      </c>
      <c r="E53" s="188">
        <v>0.66</v>
      </c>
      <c r="F53" s="188">
        <v>0.24</v>
      </c>
      <c r="G53" s="188">
        <v>0.08</v>
      </c>
    </row>
    <row r="54" spans="1:7">
      <c r="A54" s="188" t="s">
        <v>276</v>
      </c>
      <c r="B54" s="188">
        <v>0.22</v>
      </c>
      <c r="C54" s="188">
        <v>1.01</v>
      </c>
      <c r="D54" s="188">
        <v>0.88</v>
      </c>
      <c r="E54" s="188">
        <v>0.88</v>
      </c>
      <c r="F54" s="188">
        <v>0.71</v>
      </c>
      <c r="G54" s="188">
        <v>0.3</v>
      </c>
    </row>
    <row r="55" spans="1:7">
      <c r="A55" s="188" t="s">
        <v>12</v>
      </c>
      <c r="B55" s="188">
        <v>0</v>
      </c>
      <c r="C55" s="188">
        <v>0</v>
      </c>
      <c r="D55" s="188">
        <v>2.27</v>
      </c>
      <c r="E55" s="188">
        <v>0.28</v>
      </c>
      <c r="F55" s="188">
        <v>0.49</v>
      </c>
      <c r="G55" s="188">
        <v>0.53</v>
      </c>
    </row>
    <row r="57" spans="1:9">
      <c r="A57" s="189" t="s">
        <v>277</v>
      </c>
      <c r="B57" s="188" t="s">
        <v>273</v>
      </c>
      <c r="C57" s="188" t="s">
        <v>274</v>
      </c>
      <c r="D57" s="188" t="s">
        <v>10</v>
      </c>
      <c r="E57" s="188" t="s">
        <v>275</v>
      </c>
      <c r="F57" s="188" t="s">
        <v>276</v>
      </c>
      <c r="G57" s="188" t="s">
        <v>12</v>
      </c>
      <c r="I57" s="189" t="s">
        <v>278</v>
      </c>
    </row>
    <row r="58" spans="1:14">
      <c r="A58" s="188" t="s">
        <v>273</v>
      </c>
      <c r="B58" s="188">
        <f t="shared" ref="B58:G58" si="5">(I58^2)*B66</f>
        <v>0.3168</v>
      </c>
      <c r="C58" s="188">
        <f t="shared" si="5"/>
        <v>0.495</v>
      </c>
      <c r="D58" s="188">
        <f t="shared" si="5"/>
        <v>1.44</v>
      </c>
      <c r="E58" s="188">
        <f t="shared" si="5"/>
        <v>0.1521</v>
      </c>
      <c r="F58" s="188">
        <f t="shared" si="5"/>
        <v>0</v>
      </c>
      <c r="G58" s="188">
        <f t="shared" si="5"/>
        <v>0</v>
      </c>
      <c r="I58" s="188">
        <v>0.06</v>
      </c>
      <c r="J58" s="188">
        <v>0.15</v>
      </c>
      <c r="K58" s="188">
        <v>0.24</v>
      </c>
      <c r="L58" s="188">
        <v>0.13</v>
      </c>
      <c r="M58" s="188">
        <v>0</v>
      </c>
      <c r="N58" s="188">
        <v>0</v>
      </c>
    </row>
    <row r="59" spans="1:14">
      <c r="A59" s="188" t="s">
        <v>274</v>
      </c>
      <c r="B59" s="188">
        <f t="shared" ref="B59:G59" si="6">(I59^2)*B67</f>
        <v>0.081</v>
      </c>
      <c r="C59" s="188">
        <f t="shared" si="6"/>
        <v>0.4704</v>
      </c>
      <c r="D59" s="188">
        <f t="shared" si="6"/>
        <v>0.4225</v>
      </c>
      <c r="E59" s="188">
        <f t="shared" si="6"/>
        <v>0</v>
      </c>
      <c r="F59" s="188">
        <f t="shared" si="6"/>
        <v>0.0192</v>
      </c>
      <c r="G59" s="188">
        <f t="shared" si="6"/>
        <v>0</v>
      </c>
      <c r="I59" s="188">
        <v>0.09</v>
      </c>
      <c r="J59" s="188">
        <v>0.07</v>
      </c>
      <c r="K59" s="188">
        <v>0.13</v>
      </c>
      <c r="L59" s="188">
        <v>0</v>
      </c>
      <c r="M59" s="188">
        <v>0.08</v>
      </c>
      <c r="N59" s="188">
        <v>0</v>
      </c>
    </row>
    <row r="60" spans="1:14">
      <c r="A60" s="188" t="s">
        <v>10</v>
      </c>
      <c r="B60" s="188">
        <f t="shared" ref="B60:G60" si="7">(I60^2)*B68</f>
        <v>0</v>
      </c>
      <c r="C60" s="188">
        <f t="shared" si="7"/>
        <v>0.0324</v>
      </c>
      <c r="D60" s="188">
        <f t="shared" si="7"/>
        <v>1.6256</v>
      </c>
      <c r="E60" s="188">
        <f t="shared" si="7"/>
        <v>0</v>
      </c>
      <c r="F60" s="188">
        <f t="shared" si="7"/>
        <v>0</v>
      </c>
      <c r="G60" s="188">
        <f t="shared" si="7"/>
        <v>0</v>
      </c>
      <c r="I60" s="188">
        <v>0</v>
      </c>
      <c r="J60" s="188">
        <v>0.09</v>
      </c>
      <c r="K60" s="188">
        <v>0.08</v>
      </c>
      <c r="L60" s="188">
        <v>0</v>
      </c>
      <c r="M60" s="188">
        <v>0</v>
      </c>
      <c r="N60" s="188">
        <v>0</v>
      </c>
    </row>
    <row r="61" spans="1:14">
      <c r="A61" s="188" t="s">
        <v>275</v>
      </c>
      <c r="B61" s="188">
        <f t="shared" ref="B61:G61" si="8">(I61^2)*B69</f>
        <v>0.2</v>
      </c>
      <c r="C61" s="188">
        <f t="shared" si="8"/>
        <v>0.338</v>
      </c>
      <c r="D61" s="188">
        <f t="shared" si="8"/>
        <v>0.2592</v>
      </c>
      <c r="E61" s="188">
        <f t="shared" si="8"/>
        <v>0.6408</v>
      </c>
      <c r="F61" s="188">
        <f t="shared" si="8"/>
        <v>0.0243</v>
      </c>
      <c r="G61" s="188">
        <f t="shared" si="8"/>
        <v>0</v>
      </c>
      <c r="I61" s="188">
        <v>0.1</v>
      </c>
      <c r="J61" s="188">
        <v>0.26</v>
      </c>
      <c r="K61" s="188">
        <v>0.09</v>
      </c>
      <c r="L61" s="188">
        <v>0.06</v>
      </c>
      <c r="M61" s="188">
        <v>0.09</v>
      </c>
      <c r="N61" s="188">
        <v>0</v>
      </c>
    </row>
    <row r="62" spans="1:14">
      <c r="A62" s="188" t="s">
        <v>276</v>
      </c>
      <c r="B62" s="188">
        <f t="shared" ref="B62:G62" si="9">(I62^2)*B70</f>
        <v>0.0144</v>
      </c>
      <c r="C62" s="188">
        <f t="shared" si="9"/>
        <v>1.152</v>
      </c>
      <c r="D62" s="188">
        <f t="shared" si="9"/>
        <v>0.6875</v>
      </c>
      <c r="E62" s="188">
        <f t="shared" si="9"/>
        <v>1.8144</v>
      </c>
      <c r="F62" s="188">
        <f t="shared" si="9"/>
        <v>1.444</v>
      </c>
      <c r="G62" s="188">
        <f t="shared" si="9"/>
        <v>0</v>
      </c>
      <c r="I62" s="188">
        <v>0.04</v>
      </c>
      <c r="J62" s="188">
        <v>0.24</v>
      </c>
      <c r="K62" s="188">
        <v>0.25</v>
      </c>
      <c r="L62" s="188">
        <v>0.36</v>
      </c>
      <c r="M62" s="188">
        <v>0.19</v>
      </c>
      <c r="N62" s="188">
        <v>0</v>
      </c>
    </row>
    <row r="63" spans="1:14">
      <c r="A63" s="188" t="s">
        <v>12</v>
      </c>
      <c r="B63" s="188">
        <f t="shared" ref="B63:G63" si="10">(I63^2)*B71</f>
        <v>0</v>
      </c>
      <c r="C63" s="188">
        <f t="shared" si="10"/>
        <v>0</v>
      </c>
      <c r="D63" s="188">
        <f t="shared" si="10"/>
        <v>8.8752</v>
      </c>
      <c r="E63" s="188">
        <f t="shared" si="10"/>
        <v>0.0405</v>
      </c>
      <c r="F63" s="188">
        <f t="shared" si="10"/>
        <v>0.1792</v>
      </c>
      <c r="G63" s="188">
        <f t="shared" si="10"/>
        <v>0.5415</v>
      </c>
      <c r="I63" s="188">
        <v>0</v>
      </c>
      <c r="J63" s="188">
        <v>0</v>
      </c>
      <c r="K63" s="188">
        <v>1.72</v>
      </c>
      <c r="L63" s="188">
        <v>0.09</v>
      </c>
      <c r="M63" s="188">
        <v>0.16</v>
      </c>
      <c r="N63" s="188">
        <v>0.19</v>
      </c>
    </row>
    <row r="64" ht="14.25"/>
    <row r="65" ht="14.75" spans="1:7">
      <c r="A65" s="189" t="s">
        <v>279</v>
      </c>
      <c r="B65" s="225" t="s">
        <v>273</v>
      </c>
      <c r="C65" s="226" t="s">
        <v>274</v>
      </c>
      <c r="D65" s="188" t="s">
        <v>10</v>
      </c>
      <c r="E65" s="225" t="s">
        <v>275</v>
      </c>
      <c r="F65" s="226" t="s">
        <v>276</v>
      </c>
      <c r="G65" s="188" t="s">
        <v>12</v>
      </c>
    </row>
    <row r="66" spans="1:7">
      <c r="A66" s="225" t="s">
        <v>273</v>
      </c>
      <c r="B66" s="225">
        <v>88</v>
      </c>
      <c r="C66" s="226">
        <v>22</v>
      </c>
      <c r="D66" s="227">
        <v>25</v>
      </c>
      <c r="E66" s="225">
        <v>9</v>
      </c>
      <c r="F66" s="226">
        <v>1</v>
      </c>
      <c r="G66" s="226">
        <v>0</v>
      </c>
    </row>
    <row r="67" ht="14.75" spans="1:7">
      <c r="A67" s="228" t="s">
        <v>274</v>
      </c>
      <c r="B67" s="228">
        <v>10</v>
      </c>
      <c r="C67" s="229">
        <v>96</v>
      </c>
      <c r="D67" s="230">
        <v>25</v>
      </c>
      <c r="E67" s="228">
        <v>2</v>
      </c>
      <c r="F67" s="229">
        <v>3</v>
      </c>
      <c r="G67" s="229">
        <v>0</v>
      </c>
    </row>
    <row r="68" ht="14.75" spans="1:7">
      <c r="A68" s="188" t="s">
        <v>10</v>
      </c>
      <c r="B68" s="231">
        <v>2</v>
      </c>
      <c r="C68" s="232">
        <v>4</v>
      </c>
      <c r="D68" s="188">
        <v>254</v>
      </c>
      <c r="E68" s="231">
        <v>2</v>
      </c>
      <c r="F68" s="232">
        <v>1</v>
      </c>
      <c r="G68" s="188">
        <v>0</v>
      </c>
    </row>
    <row r="69" spans="1:7">
      <c r="A69" s="225" t="s">
        <v>275</v>
      </c>
      <c r="B69" s="225">
        <v>20</v>
      </c>
      <c r="C69" s="226">
        <v>5</v>
      </c>
      <c r="D69" s="227">
        <v>32</v>
      </c>
      <c r="E69" s="225">
        <v>178</v>
      </c>
      <c r="F69" s="226">
        <v>3</v>
      </c>
      <c r="G69" s="226">
        <v>1</v>
      </c>
    </row>
    <row r="70" ht="14.75" spans="1:8">
      <c r="A70" s="228" t="s">
        <v>276</v>
      </c>
      <c r="B70" s="228">
        <v>9</v>
      </c>
      <c r="C70" s="229">
        <v>20</v>
      </c>
      <c r="D70" s="230">
        <v>11</v>
      </c>
      <c r="E70" s="228">
        <v>14</v>
      </c>
      <c r="F70" s="229">
        <v>40</v>
      </c>
      <c r="G70" s="229">
        <v>2</v>
      </c>
      <c r="H70" s="188" t="s">
        <v>280</v>
      </c>
    </row>
    <row r="71" ht="14.75" spans="1:8">
      <c r="A71" s="188" t="s">
        <v>12</v>
      </c>
      <c r="B71" s="228">
        <v>0</v>
      </c>
      <c r="C71" s="229">
        <v>0</v>
      </c>
      <c r="D71" s="188">
        <v>3</v>
      </c>
      <c r="E71" s="228">
        <v>5</v>
      </c>
      <c r="F71" s="229">
        <v>7</v>
      </c>
      <c r="G71" s="188">
        <v>15</v>
      </c>
      <c r="H71" s="219">
        <f>(SUMPRODUCT(B50:G55,B66:G71))/SUM(B66:G71)</f>
        <v>0.754345434543454</v>
      </c>
    </row>
    <row r="73" spans="1:7">
      <c r="A73" s="189" t="s">
        <v>281</v>
      </c>
      <c r="B73" s="188" t="s">
        <v>273</v>
      </c>
      <c r="C73" s="188" t="s">
        <v>274</v>
      </c>
      <c r="D73" s="188" t="s">
        <v>10</v>
      </c>
      <c r="E73" s="188" t="s">
        <v>275</v>
      </c>
      <c r="F73" s="188" t="s">
        <v>276</v>
      </c>
      <c r="G73" s="188" t="s">
        <v>12</v>
      </c>
    </row>
    <row r="74" spans="1:7">
      <c r="A74" s="188" t="s">
        <v>273</v>
      </c>
      <c r="B74" s="188">
        <f t="shared" ref="B74:G74" si="11">B66-1</f>
        <v>87</v>
      </c>
      <c r="C74" s="188">
        <f t="shared" si="11"/>
        <v>21</v>
      </c>
      <c r="D74" s="188">
        <f t="shared" si="11"/>
        <v>24</v>
      </c>
      <c r="E74" s="188">
        <f t="shared" si="11"/>
        <v>8</v>
      </c>
      <c r="F74" s="188">
        <f t="shared" si="11"/>
        <v>0</v>
      </c>
      <c r="G74" s="188">
        <f t="shared" si="11"/>
        <v>-1</v>
      </c>
    </row>
    <row r="75" spans="1:7">
      <c r="A75" s="188" t="s">
        <v>274</v>
      </c>
      <c r="B75" s="188">
        <f t="shared" ref="B75:G75" si="12">B67-1</f>
        <v>9</v>
      </c>
      <c r="C75" s="188">
        <f t="shared" si="12"/>
        <v>95</v>
      </c>
      <c r="D75" s="188">
        <f t="shared" si="12"/>
        <v>24</v>
      </c>
      <c r="E75" s="188">
        <f t="shared" si="12"/>
        <v>1</v>
      </c>
      <c r="F75" s="188">
        <f t="shared" si="12"/>
        <v>2</v>
      </c>
      <c r="G75" s="188">
        <f t="shared" si="12"/>
        <v>-1</v>
      </c>
    </row>
    <row r="76" spans="1:7">
      <c r="A76" s="188" t="s">
        <v>10</v>
      </c>
      <c r="B76" s="188">
        <f t="shared" ref="B76:G76" si="13">B68-1</f>
        <v>1</v>
      </c>
      <c r="C76" s="188">
        <f t="shared" si="13"/>
        <v>3</v>
      </c>
      <c r="D76" s="188">
        <f t="shared" si="13"/>
        <v>253</v>
      </c>
      <c r="E76" s="188">
        <f t="shared" si="13"/>
        <v>1</v>
      </c>
      <c r="F76" s="188">
        <f t="shared" si="13"/>
        <v>0</v>
      </c>
      <c r="G76" s="188">
        <f t="shared" si="13"/>
        <v>-1</v>
      </c>
    </row>
    <row r="77" spans="1:7">
      <c r="A77" s="188" t="s">
        <v>275</v>
      </c>
      <c r="B77" s="188">
        <f t="shared" ref="B77:G77" si="14">B69-1</f>
        <v>19</v>
      </c>
      <c r="C77" s="188">
        <f t="shared" si="14"/>
        <v>4</v>
      </c>
      <c r="D77" s="188">
        <f t="shared" si="14"/>
        <v>31</v>
      </c>
      <c r="E77" s="188">
        <f t="shared" si="14"/>
        <v>177</v>
      </c>
      <c r="F77" s="188">
        <f t="shared" si="14"/>
        <v>2</v>
      </c>
      <c r="G77" s="188">
        <f t="shared" si="14"/>
        <v>0</v>
      </c>
    </row>
    <row r="78" spans="1:9">
      <c r="A78" s="188" t="s">
        <v>276</v>
      </c>
      <c r="B78" s="188">
        <f t="shared" ref="B78:G78" si="15">B70-1</f>
        <v>8</v>
      </c>
      <c r="C78" s="188">
        <f t="shared" si="15"/>
        <v>19</v>
      </c>
      <c r="D78" s="188">
        <f t="shared" si="15"/>
        <v>10</v>
      </c>
      <c r="E78" s="188">
        <f t="shared" si="15"/>
        <v>13</v>
      </c>
      <c r="F78" s="188">
        <f t="shared" si="15"/>
        <v>39</v>
      </c>
      <c r="G78" s="188">
        <f t="shared" si="15"/>
        <v>1</v>
      </c>
      <c r="H78" s="188" t="s">
        <v>282</v>
      </c>
      <c r="I78" s="188" t="s">
        <v>283</v>
      </c>
    </row>
    <row r="79" spans="1:9">
      <c r="A79" s="188" t="s">
        <v>12</v>
      </c>
      <c r="B79" s="188">
        <f t="shared" ref="B79:G79" si="16">B71-1</f>
        <v>-1</v>
      </c>
      <c r="C79" s="188">
        <f t="shared" si="16"/>
        <v>-1</v>
      </c>
      <c r="D79" s="188">
        <f t="shared" si="16"/>
        <v>2</v>
      </c>
      <c r="E79" s="188">
        <f t="shared" si="16"/>
        <v>4</v>
      </c>
      <c r="F79" s="188">
        <f t="shared" si="16"/>
        <v>6</v>
      </c>
      <c r="G79" s="188">
        <f t="shared" si="16"/>
        <v>14</v>
      </c>
      <c r="H79" s="219">
        <f>SQRT(SUMPRODUCT(B58:G63,B74:G79)/SUMIF(B74:G79,"&gt;1"))</f>
        <v>0.958348956858684</v>
      </c>
      <c r="I79" s="219">
        <f>H79/H71</f>
        <v>1.27043780339003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zoomScale="115" zoomScaleNormal="115" topLeftCell="A15" workbookViewId="0">
      <selection activeCell="C23" sqref="C23"/>
    </sheetView>
  </sheetViews>
  <sheetFormatPr defaultColWidth="9" defaultRowHeight="14.5"/>
  <cols>
    <col min="1" max="1" width="26.1090909090909" style="179" customWidth="1"/>
    <col min="2" max="2" width="14.7818181818182" style="180" customWidth="1"/>
    <col min="3" max="3" width="16.7818181818182" style="180" customWidth="1"/>
    <col min="4" max="4" width="18.4454545454545" style="180" customWidth="1"/>
    <col min="5" max="5" width="15.7818181818182" style="180" customWidth="1"/>
    <col min="6" max="6" width="17.6636363636364" style="180" customWidth="1"/>
    <col min="7" max="7" width="23.4454545454545" style="180" customWidth="1"/>
    <col min="8" max="8" width="19.9" style="180" customWidth="1"/>
    <col min="9" max="1025" width="8.5" style="180" customWidth="1"/>
    <col min="1026" max="16384" width="9" style="28"/>
  </cols>
  <sheetData>
    <row r="1" s="178" customFormat="1" spans="1:7">
      <c r="A1" s="181" t="s">
        <v>29</v>
      </c>
      <c r="B1" s="178" t="s">
        <v>284</v>
      </c>
      <c r="C1" s="178" t="s">
        <v>285</v>
      </c>
      <c r="D1" s="178" t="s">
        <v>286</v>
      </c>
      <c r="E1" s="178" t="s">
        <v>287</v>
      </c>
      <c r="F1" s="178" t="s">
        <v>288</v>
      </c>
      <c r="G1" s="178" t="s">
        <v>289</v>
      </c>
    </row>
    <row r="2" ht="72.5" spans="1:7">
      <c r="A2" s="179" t="s">
        <v>290</v>
      </c>
      <c r="B2" s="180" t="s">
        <v>291</v>
      </c>
      <c r="C2" s="179" t="s">
        <v>292</v>
      </c>
      <c r="G2" s="180" t="s">
        <v>293</v>
      </c>
    </row>
    <row r="3" ht="72.5" spans="1:7">
      <c r="A3" s="179" t="s">
        <v>294</v>
      </c>
      <c r="B3" s="180" t="s">
        <v>295</v>
      </c>
      <c r="D3" s="180" t="s">
        <v>296</v>
      </c>
      <c r="G3" s="179" t="s">
        <v>297</v>
      </c>
    </row>
    <row r="4" ht="130.5" spans="1:8">
      <c r="A4" s="182" t="s">
        <v>298</v>
      </c>
      <c r="B4" s="180">
        <v>36</v>
      </c>
      <c r="C4" s="181" t="s">
        <v>299</v>
      </c>
      <c r="G4" s="180" t="s">
        <v>300</v>
      </c>
      <c r="H4" s="180" t="s">
        <v>301</v>
      </c>
    </row>
    <row r="5" ht="87" spans="1:7">
      <c r="A5" s="179" t="s">
        <v>302</v>
      </c>
      <c r="B5" s="180">
        <v>35</v>
      </c>
      <c r="C5" s="180" t="s">
        <v>303</v>
      </c>
      <c r="G5" s="179" t="s">
        <v>304</v>
      </c>
    </row>
    <row r="6" ht="58" spans="1:7">
      <c r="A6" s="179" t="s">
        <v>305</v>
      </c>
      <c r="B6" s="180" t="s">
        <v>306</v>
      </c>
      <c r="C6" s="179" t="s">
        <v>307</v>
      </c>
      <c r="G6" s="179" t="s">
        <v>308</v>
      </c>
    </row>
    <row r="7" ht="72.5" spans="1:7">
      <c r="A7" s="179" t="s">
        <v>309</v>
      </c>
      <c r="B7" s="180" t="s">
        <v>310</v>
      </c>
      <c r="C7" s="180">
        <v>4.6</v>
      </c>
      <c r="D7" s="180">
        <v>2.5</v>
      </c>
      <c r="G7" s="180" t="s">
        <v>311</v>
      </c>
    </row>
    <row r="8" ht="58" spans="1:7">
      <c r="A8" s="179" t="s">
        <v>312</v>
      </c>
      <c r="B8" s="180" t="s">
        <v>313</v>
      </c>
      <c r="D8" s="179" t="s">
        <v>314</v>
      </c>
      <c r="G8" s="180" t="s">
        <v>315</v>
      </c>
    </row>
    <row r="9" ht="58" spans="1:7">
      <c r="A9" s="179" t="s">
        <v>316</v>
      </c>
      <c r="B9" s="180" t="s">
        <v>313</v>
      </c>
      <c r="D9" s="179" t="s">
        <v>317</v>
      </c>
      <c r="G9" s="180" t="s">
        <v>318</v>
      </c>
    </row>
    <row r="10" ht="72.5" spans="1:9">
      <c r="A10" s="179" t="s">
        <v>319</v>
      </c>
      <c r="B10" s="180" t="s">
        <v>320</v>
      </c>
      <c r="E10" s="179" t="s">
        <v>321</v>
      </c>
      <c r="G10" s="179" t="s">
        <v>322</v>
      </c>
      <c r="H10" s="179"/>
      <c r="I10" s="178"/>
    </row>
    <row r="11" ht="72.5" spans="1:7">
      <c r="A11" s="182" t="s">
        <v>323</v>
      </c>
      <c r="B11" s="180">
        <v>32</v>
      </c>
      <c r="E11" s="180" t="s">
        <v>324</v>
      </c>
      <c r="G11" s="180" t="s">
        <v>325</v>
      </c>
    </row>
    <row r="12" ht="72.5" spans="1:7">
      <c r="A12" s="179" t="s">
        <v>326</v>
      </c>
      <c r="B12" s="180" t="s">
        <v>327</v>
      </c>
      <c r="E12" s="179" t="s">
        <v>328</v>
      </c>
      <c r="G12" s="180" t="s">
        <v>329</v>
      </c>
    </row>
    <row r="13" ht="58" spans="1:7">
      <c r="A13" s="179" t="s">
        <v>330</v>
      </c>
      <c r="B13" s="180" t="s">
        <v>331</v>
      </c>
      <c r="E13" s="179" t="s">
        <v>332</v>
      </c>
      <c r="F13" s="179" t="s">
        <v>333</v>
      </c>
      <c r="G13" s="179" t="s">
        <v>334</v>
      </c>
    </row>
    <row r="14" ht="130.5" spans="1:7">
      <c r="A14" s="183" t="s">
        <v>335</v>
      </c>
      <c r="B14" s="184">
        <v>32</v>
      </c>
      <c r="C14" s="184"/>
      <c r="D14" s="184"/>
      <c r="E14" s="184"/>
      <c r="F14" s="186" t="s">
        <v>336</v>
      </c>
      <c r="G14" s="187" t="s">
        <v>337</v>
      </c>
    </row>
    <row r="15" spans="3:3">
      <c r="C15" s="181"/>
    </row>
    <row r="16" spans="3:3">
      <c r="C16" s="181"/>
    </row>
    <row r="17" spans="3:3">
      <c r="C17" s="181"/>
    </row>
    <row r="18" spans="3:3">
      <c r="C18" s="181"/>
    </row>
    <row r="20" spans="3:3">
      <c r="C20" s="185"/>
    </row>
    <row r="21" spans="7:7">
      <c r="G21" s="185"/>
    </row>
    <row r="29" spans="4:8">
      <c r="D29" s="178"/>
      <c r="H29" s="178"/>
    </row>
  </sheetData>
  <hyperlinks>
    <hyperlink ref="A11" r:id="rId1" display="Spontaneous GABAA receptor-mediated inhibitory currents in adult rat somatosensory cortex&#10;"/>
    <hyperlink ref="A4" r:id="rId2" display="Synaptic connections between layer 4 spiny neurone–&#10;layer 2/3 pyramidal cell pairs in juvenile rat barrel cortex physiology and anatomy of interlaminar signalling within a&#10;cortical column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9"/>
  <sheetViews>
    <sheetView topLeftCell="A7" workbookViewId="0">
      <selection activeCell="C65" sqref="C65"/>
    </sheetView>
  </sheetViews>
  <sheetFormatPr defaultColWidth="8.89090909090909" defaultRowHeight="16.5" outlineLevelCol="4"/>
  <cols>
    <col min="1" max="1" width="12.3363636363636" style="167" customWidth="1"/>
    <col min="2" max="2" width="13.0363636363636" style="167" customWidth="1"/>
    <col min="3" max="4" width="17.1090909090909" style="167"/>
    <col min="5" max="5" width="17.1818181818182" style="167" customWidth="1"/>
    <col min="6" max="16384" width="8.89090909090909" style="167"/>
  </cols>
  <sheetData>
    <row r="1" spans="1:1">
      <c r="A1" s="167" t="s">
        <v>338</v>
      </c>
    </row>
    <row r="2" spans="1:2">
      <c r="A2" s="168" t="s">
        <v>339</v>
      </c>
      <c r="B2" s="168" t="s">
        <v>340</v>
      </c>
    </row>
    <row r="3" spans="1:2">
      <c r="A3" s="169">
        <f>23/62</f>
        <v>0.370967741935484</v>
      </c>
      <c r="B3" s="169">
        <f>36/57</f>
        <v>0.631578947368421</v>
      </c>
    </row>
    <row r="4" spans="1:1">
      <c r="A4" s="170" t="s">
        <v>341</v>
      </c>
    </row>
    <row r="19" spans="1:1">
      <c r="A19" s="167" t="s">
        <v>342</v>
      </c>
    </row>
    <row r="20" ht="26" customHeight="1" spans="1:5">
      <c r="A20" s="168"/>
      <c r="B20" s="168" t="s">
        <v>343</v>
      </c>
      <c r="C20" s="168" t="s">
        <v>344</v>
      </c>
      <c r="D20" s="168" t="s">
        <v>345</v>
      </c>
      <c r="E20" s="175" t="s">
        <v>346</v>
      </c>
    </row>
    <row r="21" spans="1:5">
      <c r="A21" s="168" t="s">
        <v>25</v>
      </c>
      <c r="B21" s="169">
        <f>(6*1095+66*1605)/(1095+1605)</f>
        <v>41.6666666666667</v>
      </c>
      <c r="C21" s="169">
        <f>B21/$B$22</f>
        <v>0.155606920284682</v>
      </c>
      <c r="D21" s="171">
        <f>C21*$A$3</f>
        <v>0.0577251478475433</v>
      </c>
      <c r="E21" s="173">
        <f>C21*$B$3</f>
        <v>0.0982780549166413</v>
      </c>
    </row>
    <row r="22" spans="1:5">
      <c r="A22" s="168" t="s">
        <v>10</v>
      </c>
      <c r="B22" s="169">
        <f>(341*459+278*2570+246*2752)/(459+2570+2752)</f>
        <v>267.76872513406</v>
      </c>
      <c r="C22" s="169">
        <f>B22/$B$22</f>
        <v>1</v>
      </c>
      <c r="D22" s="169">
        <f>C22*$A$3</f>
        <v>0.370967741935484</v>
      </c>
      <c r="E22" s="173">
        <f>C22*$B$3</f>
        <v>0.631578947368421</v>
      </c>
    </row>
    <row r="23" spans="1:5">
      <c r="A23" s="168" t="s">
        <v>11</v>
      </c>
      <c r="B23" s="169">
        <f>(165*999+195*1613)/(999+1613)</f>
        <v>183.526033690658</v>
      </c>
      <c r="C23" s="169">
        <f>B23/$B$22</f>
        <v>0.685390101471989</v>
      </c>
      <c r="D23" s="169">
        <f>C23*$A$3</f>
        <v>0.254257618287996</v>
      </c>
      <c r="E23" s="173">
        <f>C23*$B$3</f>
        <v>0.432877958824414</v>
      </c>
    </row>
    <row r="24" spans="1:5">
      <c r="A24" s="168" t="s">
        <v>12</v>
      </c>
      <c r="B24" s="169">
        <f>(131*1661+139*2226)/(1661+2226)</f>
        <v>135.5814252637</v>
      </c>
      <c r="C24" s="169">
        <f>B24/$B$22</f>
        <v>0.506337792794211</v>
      </c>
      <c r="D24" s="169">
        <f>C24*$A$3</f>
        <v>0.187834987649465</v>
      </c>
      <c r="E24" s="173">
        <f>C24*$B$3</f>
        <v>0.319792290185817</v>
      </c>
    </row>
    <row r="25" spans="1:1">
      <c r="A25" s="170" t="s">
        <v>347</v>
      </c>
    </row>
    <row r="37" spans="1:1">
      <c r="A37" s="167" t="s">
        <v>348</v>
      </c>
    </row>
    <row r="38" spans="1:5">
      <c r="A38" s="172"/>
      <c r="B38" s="168" t="s">
        <v>349</v>
      </c>
      <c r="C38" s="168" t="s">
        <v>343</v>
      </c>
      <c r="D38" s="168" t="s">
        <v>350</v>
      </c>
      <c r="E38" s="168" t="s">
        <v>351</v>
      </c>
    </row>
    <row r="39" spans="1:5">
      <c r="A39" s="168" t="s">
        <v>352</v>
      </c>
      <c r="B39" s="169">
        <f>(0.2*29+0.46*45)/(29+45)</f>
        <v>0.358108108108108</v>
      </c>
      <c r="C39" s="169">
        <v>41.6666666666667</v>
      </c>
      <c r="D39" s="169">
        <f t="shared" ref="D39:D46" si="0">B39/C39</f>
        <v>0.00859459459459459</v>
      </c>
      <c r="E39" s="169">
        <f>0.49*D39/$D$40</f>
        <v>1.12766818244295</v>
      </c>
    </row>
    <row r="40" spans="1:5">
      <c r="A40" s="168" t="s">
        <v>353</v>
      </c>
      <c r="B40" s="169">
        <v>1</v>
      </c>
      <c r="C40" s="169">
        <v>267.76872513406</v>
      </c>
      <c r="D40" s="169">
        <f t="shared" si="0"/>
        <v>0.00373456608683237</v>
      </c>
      <c r="E40" s="169">
        <f>0.49*D40/$D$40</f>
        <v>0.49</v>
      </c>
    </row>
    <row r="41" spans="1:5">
      <c r="A41" s="168" t="s">
        <v>354</v>
      </c>
      <c r="B41" s="169">
        <f>(0.14*39+0.17*44)/(39+44)</f>
        <v>0.155903614457831</v>
      </c>
      <c r="C41" s="169">
        <v>183.526033690658</v>
      </c>
      <c r="D41" s="169">
        <f t="shared" si="0"/>
        <v>0.000849490458234465</v>
      </c>
      <c r="E41" s="169">
        <f>0.49*D41/$D$40</f>
        <v>0.111458818737346</v>
      </c>
    </row>
    <row r="42" spans="1:5">
      <c r="A42" s="168" t="s">
        <v>355</v>
      </c>
      <c r="B42" s="169">
        <v>0.39</v>
      </c>
      <c r="C42" s="169">
        <v>135.5814252637</v>
      </c>
      <c r="D42" s="169">
        <f t="shared" si="0"/>
        <v>0.00287650022295803</v>
      </c>
      <c r="E42" s="169">
        <f>0.49*D42/$D$40</f>
        <v>0.377416030799162</v>
      </c>
    </row>
    <row r="43" spans="1:5">
      <c r="A43" s="168" t="s">
        <v>160</v>
      </c>
      <c r="B43" s="169">
        <f>(0.04*3+0.35*9)/(3+9)</f>
        <v>0.2725</v>
      </c>
      <c r="C43" s="173">
        <v>41.6666666666667</v>
      </c>
      <c r="D43" s="173">
        <f t="shared" si="0"/>
        <v>0.00654</v>
      </c>
      <c r="E43" s="173">
        <f>0.49*D43/$D$44</f>
        <v>0.746166657882268</v>
      </c>
    </row>
    <row r="44" spans="1:5">
      <c r="A44" s="168" t="s">
        <v>356</v>
      </c>
      <c r="B44" s="169">
        <v>1.15</v>
      </c>
      <c r="C44" s="173">
        <v>267.76872513406</v>
      </c>
      <c r="D44" s="173">
        <f t="shared" si="0"/>
        <v>0.00429475099985723</v>
      </c>
      <c r="E44" s="173">
        <f>0.49*D44/$D$44</f>
        <v>0.49</v>
      </c>
    </row>
    <row r="45" spans="1:5">
      <c r="A45" s="168" t="s">
        <v>159</v>
      </c>
      <c r="B45" s="169">
        <f>(0.12*5+0.04*11)/(5+11)</f>
        <v>0.065</v>
      </c>
      <c r="C45" s="173">
        <v>183.526033690658</v>
      </c>
      <c r="D45" s="173">
        <f t="shared" si="0"/>
        <v>0.000354173185639486</v>
      </c>
      <c r="E45" s="173">
        <f>0.49*D45/$D$44</f>
        <v>0.040408596672803</v>
      </c>
    </row>
    <row r="46" spans="1:5">
      <c r="A46" s="168" t="s">
        <v>357</v>
      </c>
      <c r="B46" s="169">
        <f>0.17</f>
        <v>0.17</v>
      </c>
      <c r="C46" s="173">
        <v>135.5814252637</v>
      </c>
      <c r="D46" s="173">
        <f t="shared" si="0"/>
        <v>0.00125385907154581</v>
      </c>
      <c r="E46" s="173">
        <f>0.49*D46/$D$44</f>
        <v>0.143056243558211</v>
      </c>
    </row>
    <row r="47" spans="1:1">
      <c r="A47" s="170" t="s">
        <v>358</v>
      </c>
    </row>
    <row r="64" spans="1:4">
      <c r="A64" s="168"/>
      <c r="B64" s="168" t="s">
        <v>344</v>
      </c>
      <c r="C64" s="172" t="s">
        <v>359</v>
      </c>
      <c r="D64" s="174"/>
    </row>
    <row r="65" spans="1:4">
      <c r="A65" s="168" t="s">
        <v>352</v>
      </c>
      <c r="B65" s="169">
        <v>0.155606920284682</v>
      </c>
      <c r="C65" s="171"/>
      <c r="D65" s="176"/>
    </row>
    <row r="66" spans="1:4">
      <c r="A66" s="168" t="s">
        <v>353</v>
      </c>
      <c r="B66" s="169">
        <v>1</v>
      </c>
      <c r="C66" s="171">
        <v>0.4</v>
      </c>
      <c r="D66" s="176" t="s">
        <v>360</v>
      </c>
    </row>
    <row r="67" spans="1:4">
      <c r="A67" s="168" t="s">
        <v>354</v>
      </c>
      <c r="B67" s="169">
        <v>0.685390101471989</v>
      </c>
      <c r="C67" s="171">
        <f>7/27</f>
        <v>0.259259259259259</v>
      </c>
      <c r="D67" s="176"/>
    </row>
    <row r="68" spans="1:4">
      <c r="A68" s="168" t="s">
        <v>355</v>
      </c>
      <c r="B68" s="169">
        <v>0.506337792794211</v>
      </c>
      <c r="C68" s="171">
        <f>1/11</f>
        <v>0.0909090909090909</v>
      </c>
      <c r="D68" s="176"/>
    </row>
    <row r="69" ht="13.5" spans="1:1">
      <c r="A69" s="177" t="s">
        <v>361</v>
      </c>
    </row>
  </sheetData>
  <hyperlinks>
    <hyperlink ref="A4" r:id="rId2" display="https://www.jneurosci.org/content/22/24/10966.short"/>
    <hyperlink ref="A25" r:id="rId3" display="https://academic.oup.com/cercor/article/22/10/2375/289513"/>
    <hyperlink ref="A47" r:id="rId4" display="https://elifesciences.org/articles/52665"/>
    <hyperlink ref="A69" r:id="rId5" display="http://www.sciencemag.org/cgi/pmidlookup?view=long&amp;pmid=23812718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"/>
  <sheetViews>
    <sheetView workbookViewId="0">
      <selection activeCell="C11" sqref="C11"/>
    </sheetView>
  </sheetViews>
  <sheetFormatPr defaultColWidth="8.9" defaultRowHeight="13.5" outlineLevelRow="7" outlineLevelCol="6"/>
  <cols>
    <col min="1" max="7" width="17.8" customWidth="1"/>
  </cols>
  <sheetData>
    <row r="1" ht="36" customHeight="1" spans="1:7">
      <c r="A1" s="157" t="s">
        <v>362</v>
      </c>
      <c r="B1" s="158" t="s">
        <v>363</v>
      </c>
      <c r="C1" s="159" t="s">
        <v>364</v>
      </c>
      <c r="D1" s="158" t="s">
        <v>365</v>
      </c>
      <c r="E1" s="158" t="s">
        <v>366</v>
      </c>
      <c r="F1" s="158" t="s">
        <v>142</v>
      </c>
      <c r="G1" s="158" t="s">
        <v>29</v>
      </c>
    </row>
    <row r="2" ht="27" customHeight="1" spans="1:7">
      <c r="A2" s="160" t="s">
        <v>367</v>
      </c>
      <c r="B2" s="161" t="s">
        <v>10</v>
      </c>
      <c r="C2" s="161" t="s">
        <v>368</v>
      </c>
      <c r="D2" s="161" t="s">
        <v>369</v>
      </c>
      <c r="E2" s="161">
        <v>50</v>
      </c>
      <c r="F2" s="161" t="s">
        <v>370</v>
      </c>
      <c r="G2" s="165" t="s">
        <v>371</v>
      </c>
    </row>
    <row r="3" ht="27" customHeight="1" spans="1:7">
      <c r="A3" s="162"/>
      <c r="B3" s="161"/>
      <c r="C3" s="161" t="s">
        <v>372</v>
      </c>
      <c r="D3" s="161"/>
      <c r="E3" s="161">
        <v>100</v>
      </c>
      <c r="F3" s="161" t="s">
        <v>370</v>
      </c>
      <c r="G3" s="166" t="s">
        <v>373</v>
      </c>
    </row>
    <row r="4" ht="27" customHeight="1" spans="1:7">
      <c r="A4" s="162"/>
      <c r="B4" s="163" t="s">
        <v>374</v>
      </c>
      <c r="C4" s="164" t="s">
        <v>375</v>
      </c>
      <c r="D4" s="163" t="s">
        <v>376</v>
      </c>
      <c r="E4" s="163" t="s">
        <v>377</v>
      </c>
      <c r="F4" s="163" t="s">
        <v>378</v>
      </c>
      <c r="G4" s="166" t="s">
        <v>379</v>
      </c>
    </row>
    <row r="5" ht="27" customHeight="1" spans="1:7">
      <c r="A5" s="160" t="s">
        <v>380</v>
      </c>
      <c r="B5" s="161" t="s">
        <v>10</v>
      </c>
      <c r="C5" s="161" t="s">
        <v>381</v>
      </c>
      <c r="D5" s="161"/>
      <c r="E5" s="161">
        <v>50</v>
      </c>
      <c r="F5" s="161" t="s">
        <v>370</v>
      </c>
      <c r="G5" s="165" t="s">
        <v>371</v>
      </c>
    </row>
    <row r="6" ht="27" customHeight="1" spans="1:7">
      <c r="A6" s="162"/>
      <c r="B6" s="161"/>
      <c r="C6" s="161" t="s">
        <v>382</v>
      </c>
      <c r="D6" s="161"/>
      <c r="E6" s="161">
        <v>100</v>
      </c>
      <c r="F6" s="161" t="s">
        <v>383</v>
      </c>
      <c r="G6" s="165" t="s">
        <v>373</v>
      </c>
    </row>
    <row r="7" ht="27" customHeight="1" spans="1:7">
      <c r="A7" s="160" t="s">
        <v>384</v>
      </c>
      <c r="B7" s="163" t="s">
        <v>10</v>
      </c>
      <c r="C7" s="164" t="s">
        <v>385</v>
      </c>
      <c r="D7" s="163"/>
      <c r="E7" s="163">
        <v>200</v>
      </c>
      <c r="F7" s="163" t="s">
        <v>386</v>
      </c>
      <c r="G7" s="165" t="s">
        <v>387</v>
      </c>
    </row>
    <row r="8" ht="27" customHeight="1" spans="1:7">
      <c r="A8" s="162"/>
      <c r="B8" s="163" t="s">
        <v>388</v>
      </c>
      <c r="C8" s="164" t="s">
        <v>389</v>
      </c>
      <c r="D8" s="163"/>
      <c r="E8" s="163">
        <v>200</v>
      </c>
      <c r="F8" s="163" t="s">
        <v>386</v>
      </c>
      <c r="G8" s="165" t="s">
        <v>387</v>
      </c>
    </row>
  </sheetData>
  <hyperlinks>
    <hyperlink ref="G2" r:id="rId1" display="Two networks of electrically coupled inhibitory neurons in neocortex, Gibson, 1999"/>
    <hyperlink ref="G3" r:id="rId2" display="A network of electrically coupled interneurons drives synchronized inhibition in neocortex, Beierlein, 2000"/>
    <hyperlink ref="G6" r:id="rId2" display="A network of electrically coupled interneurons drives synchronized inhibition in neocortex, Beierlein, 2000"/>
    <hyperlink ref="G4" r:id="rId3" display="Electrical and chemical synapses among parvalbumin fast-spiking GABAergic interneurons in adult mouse neocortex"/>
    <hyperlink ref="G5" r:id="rId1" display="Two networks of electrically coupled inhibitory neurons in neocortex, Gibson, 1999"/>
    <hyperlink ref="G7" r:id="rId4" display="Neocortical layer 4 in adult mouse differs in major cell types and circuit organization between primary sensory areas, Scala, 2018"/>
    <hyperlink ref="G8" r:id="rId4" display="Neocortical layer 4 in adult mouse differs in major cell types and circuit organization between primary sensory areas, Scala, 2018"/>
  </hyperlinks>
  <pageMargins left="0.75" right="0.75" top="1" bottom="1" header="0.5" footer="0.5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"/>
  <sheetViews>
    <sheetView zoomScale="85" zoomScaleNormal="85" workbookViewId="0">
      <selection activeCell="K4" sqref="K4"/>
    </sheetView>
  </sheetViews>
  <sheetFormatPr defaultColWidth="8.89090909090909" defaultRowHeight="14.5"/>
  <cols>
    <col min="1" max="2" width="8.89090909090909" style="150"/>
    <col min="3" max="4" width="12.8909090909091" style="150"/>
    <col min="5" max="8" width="8.89090909090909" style="150"/>
    <col min="9" max="10" width="12.8909090909091" style="150"/>
    <col min="11" max="16384" width="8.89090909090909" style="150"/>
  </cols>
  <sheetData>
    <row r="1" spans="1:1">
      <c r="A1" s="151" t="s">
        <v>266</v>
      </c>
    </row>
    <row r="2" spans="1:7">
      <c r="A2" s="150" t="s">
        <v>390</v>
      </c>
      <c r="G2" s="150" t="s">
        <v>344</v>
      </c>
    </row>
    <row r="3" spans="2:11">
      <c r="B3" s="150" t="s">
        <v>391</v>
      </c>
      <c r="C3" s="150" t="s">
        <v>4</v>
      </c>
      <c r="D3" s="150" t="s">
        <v>5</v>
      </c>
      <c r="E3" s="150" t="s">
        <v>6</v>
      </c>
      <c r="H3" s="150" t="s">
        <v>391</v>
      </c>
      <c r="I3" s="150" t="s">
        <v>4</v>
      </c>
      <c r="J3" s="150" t="s">
        <v>5</v>
      </c>
      <c r="K3" s="150" t="s">
        <v>6</v>
      </c>
    </row>
    <row r="4" spans="1:11">
      <c r="A4" s="150" t="s">
        <v>391</v>
      </c>
      <c r="B4" s="152"/>
      <c r="C4" s="152">
        <v>2.7</v>
      </c>
      <c r="D4" s="152">
        <v>1.04</v>
      </c>
      <c r="E4" s="153">
        <f>AVERAGE(C4:C6,D4:D5)</f>
        <v>1.746</v>
      </c>
      <c r="G4" s="150" t="s">
        <v>391</v>
      </c>
      <c r="H4" s="152"/>
      <c r="I4" s="152">
        <f>C4/$C$4</f>
        <v>1</v>
      </c>
      <c r="J4" s="152">
        <f>D4/$C$4</f>
        <v>0.385185185185185</v>
      </c>
      <c r="K4" s="153">
        <f>AVERAGE($I$4:$I$6,$J$4:$J$5)</f>
        <v>0.646666666666667</v>
      </c>
    </row>
    <row r="5" spans="1:11">
      <c r="A5" s="150" t="s">
        <v>4</v>
      </c>
      <c r="B5" s="152"/>
      <c r="C5" s="152">
        <v>1.79</v>
      </c>
      <c r="D5" s="152">
        <v>1.38</v>
      </c>
      <c r="E5" s="153">
        <f>E4</f>
        <v>1.746</v>
      </c>
      <c r="G5" s="150" t="s">
        <v>4</v>
      </c>
      <c r="H5" s="152"/>
      <c r="I5" s="152">
        <f>C5/$C$4</f>
        <v>0.662962962962963</v>
      </c>
      <c r="J5" s="152">
        <f>D5/$C$4</f>
        <v>0.511111111111111</v>
      </c>
      <c r="K5" s="153">
        <f>AVERAGE($I$4:$I$6,$J$4:$J$5)</f>
        <v>0.646666666666667</v>
      </c>
    </row>
    <row r="6" spans="1:11">
      <c r="A6" s="150" t="s">
        <v>5</v>
      </c>
      <c r="B6" s="152"/>
      <c r="C6" s="152">
        <v>1.82</v>
      </c>
      <c r="D6" s="153">
        <f>AVERAGE(D4:D5)</f>
        <v>1.21</v>
      </c>
      <c r="E6" s="153">
        <f>E5</f>
        <v>1.746</v>
      </c>
      <c r="G6" s="150" t="s">
        <v>5</v>
      </c>
      <c r="H6" s="152"/>
      <c r="I6" s="152">
        <f>C6/$C$4</f>
        <v>0.674074074074074</v>
      </c>
      <c r="J6" s="153">
        <f>AVERAGE(J4:J5)</f>
        <v>0.448148148148148</v>
      </c>
      <c r="K6" s="153">
        <f>AVERAGE($I$4:$I$6,$J$4:$J$5)</f>
        <v>0.646666666666667</v>
      </c>
    </row>
    <row r="7" spans="1:11">
      <c r="A7" s="150" t="s">
        <v>6</v>
      </c>
      <c r="B7" s="152"/>
      <c r="C7" s="153">
        <f>AVERAGE(C4:C6)</f>
        <v>2.10333333333333</v>
      </c>
      <c r="D7" s="153">
        <f>AVERAGE(D4:D5)</f>
        <v>1.21</v>
      </c>
      <c r="E7" s="153">
        <f>E6</f>
        <v>1.746</v>
      </c>
      <c r="G7" s="150" t="s">
        <v>6</v>
      </c>
      <c r="H7" s="152"/>
      <c r="I7" s="153">
        <f>AVERAGE(I4:I6)</f>
        <v>0.779012345679012</v>
      </c>
      <c r="J7" s="153">
        <f>AVERAGE(J4:J5)</f>
        <v>0.448148148148148</v>
      </c>
      <c r="K7" s="153">
        <f>AVERAGE($I$4:$I$6,$J$4:$J$5)</f>
        <v>0.646666666666667</v>
      </c>
    </row>
    <row r="9" spans="1:1">
      <c r="A9" s="150" t="s">
        <v>392</v>
      </c>
    </row>
    <row r="10" spans="2:5">
      <c r="B10" s="150" t="s">
        <v>391</v>
      </c>
      <c r="C10" s="150" t="s">
        <v>4</v>
      </c>
      <c r="D10" s="150" t="s">
        <v>5</v>
      </c>
      <c r="E10" s="150" t="s">
        <v>6</v>
      </c>
    </row>
    <row r="11" spans="1:11">
      <c r="A11" s="150" t="s">
        <v>391</v>
      </c>
      <c r="C11" s="150">
        <v>0.68</v>
      </c>
      <c r="D11" s="150">
        <v>0.18</v>
      </c>
      <c r="H11" s="154"/>
      <c r="I11" s="154"/>
      <c r="J11" s="154"/>
      <c r="K11" s="156"/>
    </row>
    <row r="12" spans="1:11">
      <c r="A12" s="150" t="s">
        <v>4</v>
      </c>
      <c r="C12" s="150">
        <v>0.19</v>
      </c>
      <c r="D12" s="150">
        <v>0.22</v>
      </c>
      <c r="H12" s="154"/>
      <c r="I12" s="154"/>
      <c r="J12" s="154"/>
      <c r="K12" s="156"/>
    </row>
    <row r="13" spans="1:11">
      <c r="A13" s="150" t="s">
        <v>5</v>
      </c>
      <c r="C13" s="150">
        <v>0.33</v>
      </c>
      <c r="H13" s="154"/>
      <c r="I13" s="154"/>
      <c r="J13" s="156"/>
      <c r="K13" s="156"/>
    </row>
    <row r="14" spans="1:11">
      <c r="A14" s="150" t="s">
        <v>6</v>
      </c>
      <c r="H14" s="154"/>
      <c r="I14" s="156"/>
      <c r="J14" s="156"/>
      <c r="K14" s="156"/>
    </row>
    <row r="16" spans="1:1">
      <c r="A16" s="150" t="s">
        <v>393</v>
      </c>
    </row>
    <row r="17" spans="2:5">
      <c r="B17" s="150" t="s">
        <v>391</v>
      </c>
      <c r="C17" s="150" t="s">
        <v>4</v>
      </c>
      <c r="D17" s="150" t="s">
        <v>5</v>
      </c>
      <c r="E17" s="150" t="s">
        <v>6</v>
      </c>
    </row>
    <row r="18" spans="1:5">
      <c r="A18" s="150" t="s">
        <v>391</v>
      </c>
      <c r="B18" s="154"/>
      <c r="C18" s="152">
        <f>C11/C4</f>
        <v>0.251851851851852</v>
      </c>
      <c r="D18" s="152">
        <f>D11/D4</f>
        <v>0.173076923076923</v>
      </c>
      <c r="E18" s="153">
        <f t="shared" ref="E18:E21" si="0">AVERAGE($C$18:$C$20,$D$18:$D$19)</f>
        <v>0.174362599499835</v>
      </c>
    </row>
    <row r="19" spans="1:5">
      <c r="A19" s="150" t="s">
        <v>4</v>
      </c>
      <c r="B19" s="154"/>
      <c r="C19" s="152">
        <f>C12/C5</f>
        <v>0.106145251396648</v>
      </c>
      <c r="D19" s="152">
        <f>D12/D5</f>
        <v>0.159420289855072</v>
      </c>
      <c r="E19" s="153">
        <f t="shared" si="0"/>
        <v>0.174362599499835</v>
      </c>
    </row>
    <row r="20" spans="1:5">
      <c r="A20" s="150" t="s">
        <v>5</v>
      </c>
      <c r="B20" s="154"/>
      <c r="C20" s="152">
        <f>C13/C6</f>
        <v>0.181318681318681</v>
      </c>
      <c r="D20" s="153">
        <f>AVERAGE(D18:D19)</f>
        <v>0.166248606465998</v>
      </c>
      <c r="E20" s="153">
        <f t="shared" si="0"/>
        <v>0.174362599499835</v>
      </c>
    </row>
    <row r="21" spans="1:5">
      <c r="A21" s="150" t="s">
        <v>6</v>
      </c>
      <c r="B21" s="154"/>
      <c r="C21" s="153">
        <f>AVERAGE(C18:C20)</f>
        <v>0.17977192818906</v>
      </c>
      <c r="D21" s="153">
        <f>AVERAGE(D18:D19)</f>
        <v>0.166248606465998</v>
      </c>
      <c r="E21" s="153">
        <f t="shared" si="0"/>
        <v>0.174362599499835</v>
      </c>
    </row>
    <row r="23" spans="1:1">
      <c r="A23" s="150" t="s">
        <v>394</v>
      </c>
    </row>
    <row r="24" spans="1:1">
      <c r="A24" s="155" t="s">
        <v>395</v>
      </c>
    </row>
  </sheetData>
  <hyperlinks>
    <hyperlink ref="A24" r:id="rId1" display="Short-Term Plasticity of Unitary Inhibitory-to-Inhibitory&#10;Synapses Depends on the Presynaptic Interneuron Subtype&#10;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"/>
  <sheetViews>
    <sheetView zoomScale="115" zoomScaleNormal="115" topLeftCell="A49" workbookViewId="0">
      <selection activeCell="J37" sqref="J37"/>
    </sheetView>
  </sheetViews>
  <sheetFormatPr defaultColWidth="8.89090909090909" defaultRowHeight="14"/>
  <cols>
    <col min="1" max="1" width="23.4454545454545" style="135" customWidth="1"/>
    <col min="2" max="2" width="13" style="135" customWidth="1"/>
    <col min="3" max="3" width="14.4454545454545" style="135" customWidth="1"/>
    <col min="4" max="4" width="10.2181818181818" style="135"/>
    <col min="5" max="5" width="15.6636363636364" style="135"/>
    <col min="6" max="6" width="2.78181818181818" style="135" customWidth="1"/>
    <col min="7" max="13" width="10.2181818181818" style="135"/>
    <col min="14" max="14" width="2.55454545454545" style="135" customWidth="1"/>
    <col min="15" max="15" width="8.89090909090909" style="135"/>
    <col min="16" max="20" width="11.6636363636364" style="135"/>
    <col min="21" max="21" width="10.2181818181818" style="135"/>
    <col min="22" max="16384" width="8.89090909090909" style="135"/>
  </cols>
  <sheetData>
    <row r="1" ht="13.5" spans="1:2">
      <c r="A1" s="136" t="s">
        <v>396</v>
      </c>
      <c r="B1" s="137" t="s">
        <v>397</v>
      </c>
    </row>
    <row r="2" spans="1:2">
      <c r="A2" s="135" t="s">
        <v>398</v>
      </c>
      <c r="B2" s="135" t="s">
        <v>399</v>
      </c>
    </row>
    <row r="4" spans="1:21">
      <c r="A4" s="135" t="s">
        <v>400</v>
      </c>
      <c r="B4" s="135" t="s">
        <v>25</v>
      </c>
      <c r="C4" s="135" t="s">
        <v>10</v>
      </c>
      <c r="D4" s="135" t="s">
        <v>11</v>
      </c>
      <c r="E4" s="135" t="s">
        <v>12</v>
      </c>
      <c r="G4" s="135" t="s">
        <v>401</v>
      </c>
      <c r="H4" s="141" t="s">
        <v>273</v>
      </c>
      <c r="I4" s="144" t="s">
        <v>274</v>
      </c>
      <c r="J4" s="135" t="s">
        <v>10</v>
      </c>
      <c r="K4" s="141" t="s">
        <v>275</v>
      </c>
      <c r="L4" s="144" t="s">
        <v>276</v>
      </c>
      <c r="M4" s="135" t="s">
        <v>12</v>
      </c>
      <c r="N4" s="149"/>
      <c r="O4" s="135" t="s">
        <v>402</v>
      </c>
      <c r="P4" s="141" t="s">
        <v>273</v>
      </c>
      <c r="Q4" s="144" t="s">
        <v>274</v>
      </c>
      <c r="R4" s="135" t="s">
        <v>10</v>
      </c>
      <c r="S4" s="141" t="s">
        <v>275</v>
      </c>
      <c r="T4" s="144" t="s">
        <v>276</v>
      </c>
      <c r="U4" s="135" t="s">
        <v>12</v>
      </c>
    </row>
    <row r="5" spans="1:21">
      <c r="A5" s="135" t="s">
        <v>25</v>
      </c>
      <c r="B5" s="138">
        <f>SUMPRODUCT(H5:I6,P5:Q6)/SUM(P5:Q6)</f>
        <v>1.21424657534247</v>
      </c>
      <c r="C5" s="138">
        <f>SUMPRODUCT(J5:J6,R5:R6)/SUM(R5:R6)</f>
        <v>0.951818181818182</v>
      </c>
      <c r="D5" s="138">
        <f>SUMPRODUCT(K5:L6,S5:T6)/SUM(S5:T6)</f>
        <v>1.014</v>
      </c>
      <c r="E5" s="138"/>
      <c r="G5" s="141" t="s">
        <v>273</v>
      </c>
      <c r="H5" s="141">
        <v>1.43</v>
      </c>
      <c r="I5" s="144">
        <v>1.19</v>
      </c>
      <c r="J5" s="145">
        <v>0.87</v>
      </c>
      <c r="K5" s="141">
        <v>0.81</v>
      </c>
      <c r="L5" s="144"/>
      <c r="M5" s="145"/>
      <c r="N5" s="149"/>
      <c r="O5" s="145" t="s">
        <v>273</v>
      </c>
      <c r="P5" s="141">
        <v>37</v>
      </c>
      <c r="Q5" s="144">
        <v>12</v>
      </c>
      <c r="R5" s="145">
        <v>12</v>
      </c>
      <c r="S5" s="141">
        <v>2</v>
      </c>
      <c r="T5" s="144"/>
      <c r="U5" s="144"/>
    </row>
    <row r="6" spans="1:21">
      <c r="A6" s="135" t="s">
        <v>10</v>
      </c>
      <c r="B6" s="138">
        <f>SUMPRODUCT(H7:I7,P7:Q7)/SUM(P7:Q7)</f>
        <v>1.09</v>
      </c>
      <c r="C6" s="138">
        <f>J7</f>
        <v>0.69</v>
      </c>
      <c r="D6" s="138">
        <f>K7</f>
        <v>0.3</v>
      </c>
      <c r="E6" s="138"/>
      <c r="G6" s="142" t="s">
        <v>274</v>
      </c>
      <c r="H6" s="142">
        <v>1.34</v>
      </c>
      <c r="I6" s="146">
        <v>0.83</v>
      </c>
      <c r="J6" s="147">
        <v>1.05</v>
      </c>
      <c r="K6" s="142">
        <v>1.3</v>
      </c>
      <c r="L6" s="146">
        <v>0.85</v>
      </c>
      <c r="M6" s="147"/>
      <c r="N6" s="149"/>
      <c r="O6" s="147" t="s">
        <v>274</v>
      </c>
      <c r="P6" s="142">
        <v>3</v>
      </c>
      <c r="Q6" s="146">
        <v>21</v>
      </c>
      <c r="R6" s="147">
        <v>10</v>
      </c>
      <c r="S6" s="142">
        <v>2</v>
      </c>
      <c r="T6" s="146">
        <v>1</v>
      </c>
      <c r="U6" s="146"/>
    </row>
    <row r="7" spans="1:20">
      <c r="A7" s="135" t="s">
        <v>11</v>
      </c>
      <c r="B7" s="138">
        <f>SUMPRODUCT(H8:I9,P8:Q9)/SUM(P8:Q9)</f>
        <v>1.07565217391304</v>
      </c>
      <c r="C7" s="138">
        <f>SUMPRODUCT(J8:J9,R8:R9)/SUM(R8:R9)</f>
        <v>0.847894736842105</v>
      </c>
      <c r="D7" s="138">
        <f>SUMPRODUCT(K8:L9,S8:T9)/SUM(S8:T9)</f>
        <v>0.829433962264151</v>
      </c>
      <c r="E7" s="138">
        <f>M9</f>
        <v>2.12</v>
      </c>
      <c r="G7" s="135" t="s">
        <v>10</v>
      </c>
      <c r="H7" s="143">
        <v>1.83</v>
      </c>
      <c r="I7" s="148">
        <v>0.72</v>
      </c>
      <c r="J7" s="135">
        <v>0.69</v>
      </c>
      <c r="K7" s="143">
        <v>0.3</v>
      </c>
      <c r="L7" s="148"/>
      <c r="N7" s="149"/>
      <c r="O7" s="135" t="s">
        <v>10</v>
      </c>
      <c r="P7" s="143">
        <v>1</v>
      </c>
      <c r="Q7" s="148">
        <v>2</v>
      </c>
      <c r="R7" s="135">
        <v>74</v>
      </c>
      <c r="S7" s="143">
        <v>2</v>
      </c>
      <c r="T7" s="148"/>
    </row>
    <row r="8" spans="1:21">
      <c r="A8" s="135" t="s">
        <v>12</v>
      </c>
      <c r="B8" s="138"/>
      <c r="C8" s="138">
        <f>J10</f>
        <v>0.97</v>
      </c>
      <c r="D8" s="138">
        <f>SUMPRODUCT(K10:L10,S10:T10)/SUM(S10:T10)</f>
        <v>1.135</v>
      </c>
      <c r="E8" s="138">
        <f>M10</f>
        <v>0.99</v>
      </c>
      <c r="G8" s="141" t="s">
        <v>275</v>
      </c>
      <c r="H8" s="141">
        <v>1.29</v>
      </c>
      <c r="I8" s="144">
        <v>0.85</v>
      </c>
      <c r="J8" s="145">
        <v>0.99</v>
      </c>
      <c r="K8" s="141">
        <v>0.71</v>
      </c>
      <c r="L8" s="144">
        <v>0.39</v>
      </c>
      <c r="M8" s="145"/>
      <c r="N8" s="149"/>
      <c r="O8" s="145" t="s">
        <v>275</v>
      </c>
      <c r="P8" s="141">
        <v>12</v>
      </c>
      <c r="Q8" s="144">
        <v>2</v>
      </c>
      <c r="R8" s="145">
        <v>13</v>
      </c>
      <c r="S8" s="141">
        <v>35</v>
      </c>
      <c r="T8" s="144">
        <v>1</v>
      </c>
      <c r="U8" s="144"/>
    </row>
    <row r="9" spans="4:21">
      <c r="D9" s="135" t="s">
        <v>403</v>
      </c>
      <c r="E9" s="135">
        <f>AVERAGE(B5:E8)</f>
        <v>1.0175419715523</v>
      </c>
      <c r="G9" s="142" t="s">
        <v>276</v>
      </c>
      <c r="H9" s="142"/>
      <c r="I9" s="146">
        <v>0.84</v>
      </c>
      <c r="J9" s="147">
        <v>0.54</v>
      </c>
      <c r="K9" s="142">
        <v>1.06</v>
      </c>
      <c r="L9" s="146">
        <v>1.11</v>
      </c>
      <c r="M9" s="147">
        <v>2.12</v>
      </c>
      <c r="N9" s="149"/>
      <c r="O9" s="147" t="s">
        <v>276</v>
      </c>
      <c r="P9" s="142"/>
      <c r="Q9" s="146">
        <v>9</v>
      </c>
      <c r="R9" s="147">
        <v>6</v>
      </c>
      <c r="S9" s="142">
        <v>3</v>
      </c>
      <c r="T9" s="146">
        <v>14</v>
      </c>
      <c r="U9" s="146">
        <v>1</v>
      </c>
    </row>
    <row r="10" spans="4:21">
      <c r="D10" s="135" t="s">
        <v>404</v>
      </c>
      <c r="E10" s="135">
        <f>AVERAGE(B5,C6,D7,E8)</f>
        <v>0.930920134401654</v>
      </c>
      <c r="G10" s="135" t="s">
        <v>12</v>
      </c>
      <c r="H10" s="142"/>
      <c r="I10" s="146"/>
      <c r="J10" s="135">
        <v>0.97</v>
      </c>
      <c r="K10" s="142">
        <v>1.45</v>
      </c>
      <c r="L10" s="146">
        <v>1.03</v>
      </c>
      <c r="M10" s="135">
        <v>0.99</v>
      </c>
      <c r="N10" s="149"/>
      <c r="O10" s="135" t="s">
        <v>12</v>
      </c>
      <c r="P10" s="142"/>
      <c r="Q10" s="146"/>
      <c r="R10" s="135">
        <v>2</v>
      </c>
      <c r="S10" s="142">
        <v>1</v>
      </c>
      <c r="T10" s="146">
        <v>3</v>
      </c>
      <c r="U10" s="135">
        <v>4</v>
      </c>
    </row>
    <row r="13" spans="1:21">
      <c r="A13" s="135" t="s">
        <v>405</v>
      </c>
      <c r="B13" s="135" t="s">
        <v>25</v>
      </c>
      <c r="C13" s="135" t="s">
        <v>10</v>
      </c>
      <c r="D13" s="135" t="s">
        <v>11</v>
      </c>
      <c r="E13" s="135" t="s">
        <v>12</v>
      </c>
      <c r="G13" s="135" t="s">
        <v>401</v>
      </c>
      <c r="H13" s="141" t="s">
        <v>273</v>
      </c>
      <c r="I13" s="144" t="s">
        <v>274</v>
      </c>
      <c r="J13" s="135" t="s">
        <v>10</v>
      </c>
      <c r="K13" s="141" t="s">
        <v>275</v>
      </c>
      <c r="L13" s="144" t="s">
        <v>276</v>
      </c>
      <c r="M13" s="135" t="s">
        <v>12</v>
      </c>
      <c r="N13" s="149"/>
      <c r="O13" s="135" t="s">
        <v>402</v>
      </c>
      <c r="P13" s="141" t="s">
        <v>273</v>
      </c>
      <c r="Q13" s="144" t="s">
        <v>274</v>
      </c>
      <c r="R13" s="135" t="s">
        <v>10</v>
      </c>
      <c r="S13" s="141" t="s">
        <v>275</v>
      </c>
      <c r="T13" s="144" t="s">
        <v>276</v>
      </c>
      <c r="U13" s="135" t="s">
        <v>12</v>
      </c>
    </row>
    <row r="14" spans="1:21">
      <c r="A14" s="135" t="s">
        <v>25</v>
      </c>
      <c r="B14" s="135">
        <f>SUMPRODUCT(H14:I15,P14:Q15)/SUM(P14:Q15)</f>
        <v>1.32328767123288</v>
      </c>
      <c r="C14" s="135">
        <f>SUMPRODUCT(J14:J15,R14:R15)/SUM(R14:R15)</f>
        <v>0.923636363636364</v>
      </c>
      <c r="D14" s="135">
        <f>SUMPRODUCT(K14:L15,S14:T15)/SUM(S14:T15)</f>
        <v>1.038</v>
      </c>
      <c r="G14" s="141" t="s">
        <v>273</v>
      </c>
      <c r="H14" s="141">
        <v>1.47</v>
      </c>
      <c r="I14" s="144">
        <v>1.39</v>
      </c>
      <c r="J14" s="145">
        <v>0.91</v>
      </c>
      <c r="K14" s="141">
        <v>0.91</v>
      </c>
      <c r="L14" s="144"/>
      <c r="M14" s="145"/>
      <c r="N14" s="149"/>
      <c r="O14" s="145" t="s">
        <v>273</v>
      </c>
      <c r="P14" s="141">
        <v>37</v>
      </c>
      <c r="Q14" s="144">
        <v>12</v>
      </c>
      <c r="R14" s="145">
        <v>12</v>
      </c>
      <c r="S14" s="141">
        <v>2</v>
      </c>
      <c r="T14" s="144"/>
      <c r="U14" s="144"/>
    </row>
    <row r="15" spans="1:21">
      <c r="A15" s="135" t="s">
        <v>10</v>
      </c>
      <c r="B15" s="135">
        <f>SUMPRODUCT(H16:I16,P16:Q16)/SUM(P16:Q16)</f>
        <v>1.03</v>
      </c>
      <c r="C15" s="135">
        <f>J16</f>
        <v>0.78</v>
      </c>
      <c r="D15" s="135">
        <f>K16</f>
        <v>0.51</v>
      </c>
      <c r="G15" s="142" t="s">
        <v>274</v>
      </c>
      <c r="H15" s="142">
        <v>1.23</v>
      </c>
      <c r="I15" s="146">
        <v>1.04</v>
      </c>
      <c r="J15" s="147">
        <v>0.94</v>
      </c>
      <c r="K15" s="142">
        <v>1.38</v>
      </c>
      <c r="L15" s="146">
        <v>0.61</v>
      </c>
      <c r="M15" s="147"/>
      <c r="N15" s="149"/>
      <c r="O15" s="147" t="s">
        <v>274</v>
      </c>
      <c r="P15" s="142">
        <v>3</v>
      </c>
      <c r="Q15" s="146">
        <v>21</v>
      </c>
      <c r="R15" s="147">
        <v>10</v>
      </c>
      <c r="S15" s="142">
        <v>2</v>
      </c>
      <c r="T15" s="146">
        <v>1</v>
      </c>
      <c r="U15" s="146"/>
    </row>
    <row r="16" spans="1:20">
      <c r="A16" s="135" t="s">
        <v>11</v>
      </c>
      <c r="B16" s="135">
        <f>SUMPRODUCT(H17:I18,P17:Q18)/SUM(P17:Q18)</f>
        <v>1.09347826086957</v>
      </c>
      <c r="C16" s="135">
        <f>SUMPRODUCT(J17:J18,R17:R18)/SUM(R17:R18)</f>
        <v>0.997894736842105</v>
      </c>
      <c r="D16" s="139">
        <f>SUMPRODUCT(K17:L18,S17:T18)/SUM(S17:T18)</f>
        <v>0.874905660377359</v>
      </c>
      <c r="E16" s="135">
        <f>M18</f>
        <v>1.23</v>
      </c>
      <c r="G16" s="135" t="s">
        <v>10</v>
      </c>
      <c r="H16" s="143">
        <v>1.35</v>
      </c>
      <c r="I16" s="148">
        <v>0.87</v>
      </c>
      <c r="J16" s="135">
        <v>0.78</v>
      </c>
      <c r="K16" s="143">
        <v>0.51</v>
      </c>
      <c r="L16" s="148"/>
      <c r="N16" s="149"/>
      <c r="O16" s="135" t="s">
        <v>10</v>
      </c>
      <c r="P16" s="143">
        <v>1</v>
      </c>
      <c r="Q16" s="148">
        <v>2</v>
      </c>
      <c r="R16" s="135">
        <v>74</v>
      </c>
      <c r="S16" s="143">
        <v>2</v>
      </c>
      <c r="T16" s="148"/>
    </row>
    <row r="17" spans="1:21">
      <c r="A17" s="135" t="s">
        <v>12</v>
      </c>
      <c r="C17" s="135">
        <f>J19</f>
        <v>1.27</v>
      </c>
      <c r="D17" s="135">
        <f>SUMPRODUCT(K19:L19,S19:T19)/SUM(S19:T19)</f>
        <v>0.8675</v>
      </c>
      <c r="E17" s="135">
        <f>M19</f>
        <v>1.46</v>
      </c>
      <c r="G17" s="141" t="s">
        <v>275</v>
      </c>
      <c r="H17" s="141">
        <v>1.26</v>
      </c>
      <c r="I17" s="144">
        <v>0.74</v>
      </c>
      <c r="J17" s="145">
        <v>1.14</v>
      </c>
      <c r="K17" s="141">
        <v>0.73</v>
      </c>
      <c r="L17" s="144">
        <v>1.25</v>
      </c>
      <c r="M17" s="145"/>
      <c r="N17" s="149"/>
      <c r="O17" s="145" t="s">
        <v>275</v>
      </c>
      <c r="P17" s="141">
        <v>12</v>
      </c>
      <c r="Q17" s="144">
        <v>2</v>
      </c>
      <c r="R17" s="145">
        <v>13</v>
      </c>
      <c r="S17" s="141">
        <v>35</v>
      </c>
      <c r="T17" s="144">
        <v>1</v>
      </c>
      <c r="U17" s="144"/>
    </row>
    <row r="18" spans="4:21">
      <c r="D18" s="135" t="s">
        <v>403</v>
      </c>
      <c r="E18" s="135">
        <f>AVERAGE(B14:E17)</f>
        <v>1.03066943791987</v>
      </c>
      <c r="G18" s="142" t="s">
        <v>276</v>
      </c>
      <c r="H18" s="142"/>
      <c r="I18" s="146">
        <v>0.95</v>
      </c>
      <c r="J18" s="147">
        <v>0.69</v>
      </c>
      <c r="K18" s="142">
        <v>1.53</v>
      </c>
      <c r="L18" s="146">
        <v>1.07</v>
      </c>
      <c r="M18" s="147">
        <v>1.23</v>
      </c>
      <c r="N18" s="149"/>
      <c r="O18" s="147" t="s">
        <v>276</v>
      </c>
      <c r="P18" s="142"/>
      <c r="Q18" s="146">
        <v>9</v>
      </c>
      <c r="R18" s="147">
        <v>6</v>
      </c>
      <c r="S18" s="142">
        <v>3</v>
      </c>
      <c r="T18" s="146">
        <v>14</v>
      </c>
      <c r="U18" s="146">
        <v>1</v>
      </c>
    </row>
    <row r="19" spans="4:21">
      <c r="D19" s="135" t="s">
        <v>404</v>
      </c>
      <c r="E19" s="135">
        <f>AVERAGE(B14,C15,D16,E17)</f>
        <v>1.10954833290256</v>
      </c>
      <c r="G19" s="135" t="s">
        <v>12</v>
      </c>
      <c r="H19" s="142"/>
      <c r="I19" s="146"/>
      <c r="J19" s="135">
        <v>1.27</v>
      </c>
      <c r="K19" s="142">
        <v>1.25</v>
      </c>
      <c r="L19" s="146">
        <v>0.74</v>
      </c>
      <c r="M19" s="135">
        <v>1.46</v>
      </c>
      <c r="N19" s="149"/>
      <c r="O19" s="135" t="s">
        <v>12</v>
      </c>
      <c r="P19" s="142"/>
      <c r="Q19" s="146"/>
      <c r="R19" s="135">
        <v>2</v>
      </c>
      <c r="S19" s="142">
        <v>1</v>
      </c>
      <c r="T19" s="146">
        <v>3</v>
      </c>
      <c r="U19" s="135">
        <v>5</v>
      </c>
    </row>
    <row r="22" spans="1:21">
      <c r="A22" s="135" t="s">
        <v>406</v>
      </c>
      <c r="B22" s="135" t="s">
        <v>25</v>
      </c>
      <c r="C22" s="135" t="s">
        <v>10</v>
      </c>
      <c r="D22" s="135" t="s">
        <v>11</v>
      </c>
      <c r="E22" s="135" t="s">
        <v>12</v>
      </c>
      <c r="G22" s="135" t="s">
        <v>401</v>
      </c>
      <c r="H22" s="141" t="s">
        <v>273</v>
      </c>
      <c r="I22" s="144" t="s">
        <v>274</v>
      </c>
      <c r="J22" s="135" t="s">
        <v>10</v>
      </c>
      <c r="K22" s="141" t="s">
        <v>275</v>
      </c>
      <c r="L22" s="144" t="s">
        <v>276</v>
      </c>
      <c r="M22" s="135" t="s">
        <v>12</v>
      </c>
      <c r="N22" s="149"/>
      <c r="O22" s="135" t="s">
        <v>402</v>
      </c>
      <c r="P22" s="141" t="s">
        <v>273</v>
      </c>
      <c r="Q22" s="144" t="s">
        <v>274</v>
      </c>
      <c r="R22" s="135" t="s">
        <v>10</v>
      </c>
      <c r="S22" s="141" t="s">
        <v>275</v>
      </c>
      <c r="T22" s="144" t="s">
        <v>276</v>
      </c>
      <c r="U22" s="135" t="s">
        <v>12</v>
      </c>
    </row>
    <row r="23" spans="1:21">
      <c r="A23" s="135" t="s">
        <v>25</v>
      </c>
      <c r="B23" s="135">
        <f>SUMPRODUCT(H23:I24,P23:Q24)/SUM(P23:Q24)</f>
        <v>1.02315068493151</v>
      </c>
      <c r="C23" s="135">
        <f>SUMPRODUCT(J23:J24,R23:R24)/SUM(R23:R24)</f>
        <v>0.81</v>
      </c>
      <c r="D23" s="135">
        <f>SUMPRODUCT(K23:L24,S23:T24)/SUM(S23:T24)</f>
        <v>0.896</v>
      </c>
      <c r="G23" s="141" t="s">
        <v>273</v>
      </c>
      <c r="H23" s="141">
        <v>1.16</v>
      </c>
      <c r="I23" s="144">
        <v>0.83</v>
      </c>
      <c r="J23" s="145">
        <v>0.81</v>
      </c>
      <c r="K23" s="141">
        <v>0.97</v>
      </c>
      <c r="L23" s="144"/>
      <c r="M23" s="145"/>
      <c r="N23" s="149"/>
      <c r="O23" s="145" t="s">
        <v>273</v>
      </c>
      <c r="P23" s="141">
        <v>37</v>
      </c>
      <c r="Q23" s="144">
        <v>12</v>
      </c>
      <c r="R23" s="145">
        <v>12</v>
      </c>
      <c r="S23" s="141">
        <v>2</v>
      </c>
      <c r="T23" s="144"/>
      <c r="U23" s="144"/>
    </row>
    <row r="24" spans="1:21">
      <c r="A24" s="135" t="s">
        <v>10</v>
      </c>
      <c r="B24" s="135">
        <f>SUMPRODUCT(H25:I25,P25:Q25)/SUM(P25:Q25)</f>
        <v>1.22666666666667</v>
      </c>
      <c r="C24" s="135">
        <f>J25</f>
        <v>0.77</v>
      </c>
      <c r="D24" s="135">
        <f>K25</f>
        <v>0.73</v>
      </c>
      <c r="G24" s="142" t="s">
        <v>274</v>
      </c>
      <c r="H24" s="142">
        <v>1.04</v>
      </c>
      <c r="I24" s="146">
        <v>0.89</v>
      </c>
      <c r="J24" s="147">
        <v>0.81</v>
      </c>
      <c r="K24" s="142">
        <v>1</v>
      </c>
      <c r="L24" s="146">
        <v>0.54</v>
      </c>
      <c r="M24" s="147"/>
      <c r="N24" s="149"/>
      <c r="O24" s="147" t="s">
        <v>274</v>
      </c>
      <c r="P24" s="142">
        <v>3</v>
      </c>
      <c r="Q24" s="146">
        <v>21</v>
      </c>
      <c r="R24" s="147">
        <v>10</v>
      </c>
      <c r="S24" s="142">
        <v>2</v>
      </c>
      <c r="T24" s="146">
        <v>1</v>
      </c>
      <c r="U24" s="146"/>
    </row>
    <row r="25" spans="1:20">
      <c r="A25" s="135" t="s">
        <v>11</v>
      </c>
      <c r="B25" s="135">
        <f>SUMPRODUCT(H26:I27,P26:Q27)/SUM(P26:Q27)</f>
        <v>1.07130434782609</v>
      </c>
      <c r="C25" s="135">
        <f>SUMPRODUCT(J26:J27,R26:R27)/SUM(R26:R27)</f>
        <v>0.841578947368421</v>
      </c>
      <c r="D25" s="139">
        <f>SUMPRODUCT(K26:L27,S26:T27)/SUM(S26:T27)</f>
        <v>0.854716981132075</v>
      </c>
      <c r="E25" s="135">
        <f>M27</f>
        <v>1.71</v>
      </c>
      <c r="G25" s="135" t="s">
        <v>10</v>
      </c>
      <c r="H25" s="143">
        <v>1.44</v>
      </c>
      <c r="I25" s="148">
        <v>1.12</v>
      </c>
      <c r="J25" s="135">
        <v>0.77</v>
      </c>
      <c r="K25" s="143">
        <v>0.73</v>
      </c>
      <c r="L25" s="148"/>
      <c r="N25" s="149"/>
      <c r="O25" s="135" t="s">
        <v>10</v>
      </c>
      <c r="P25" s="143">
        <v>1</v>
      </c>
      <c r="Q25" s="148">
        <v>2</v>
      </c>
      <c r="R25" s="135">
        <v>73</v>
      </c>
      <c r="S25" s="143">
        <v>2</v>
      </c>
      <c r="T25" s="148"/>
    </row>
    <row r="26" spans="1:21">
      <c r="A26" s="135" t="s">
        <v>12</v>
      </c>
      <c r="C26" s="135">
        <f>J28</f>
        <v>1.34</v>
      </c>
      <c r="D26" s="135">
        <f>SUMPRODUCT(K28:L28,S28:T28)/SUM(S28:T28)</f>
        <v>1.0875</v>
      </c>
      <c r="E26" s="135">
        <f>M28</f>
        <v>1.13</v>
      </c>
      <c r="G26" s="141" t="s">
        <v>275</v>
      </c>
      <c r="H26" s="141">
        <v>1.09</v>
      </c>
      <c r="I26" s="144">
        <v>0.92</v>
      </c>
      <c r="J26" s="145">
        <v>0.93</v>
      </c>
      <c r="K26" s="141">
        <v>0.81</v>
      </c>
      <c r="L26" s="144">
        <v>0.54</v>
      </c>
      <c r="M26" s="145"/>
      <c r="N26" s="149"/>
      <c r="O26" s="145" t="s">
        <v>275</v>
      </c>
      <c r="P26" s="141">
        <v>12</v>
      </c>
      <c r="Q26" s="144">
        <v>2</v>
      </c>
      <c r="R26" s="145">
        <v>13</v>
      </c>
      <c r="S26" s="141">
        <v>35</v>
      </c>
      <c r="T26" s="144">
        <v>1</v>
      </c>
      <c r="U26" s="144"/>
    </row>
    <row r="27" spans="4:21">
      <c r="D27" s="135" t="s">
        <v>403</v>
      </c>
      <c r="E27" s="135">
        <f>AVERAGE(B23:E26)</f>
        <v>1.03776289445575</v>
      </c>
      <c r="G27" s="142" t="s">
        <v>276</v>
      </c>
      <c r="H27" s="142"/>
      <c r="I27" s="146">
        <v>1.08</v>
      </c>
      <c r="J27" s="147">
        <v>0.65</v>
      </c>
      <c r="K27" s="142">
        <v>0.85</v>
      </c>
      <c r="L27" s="146">
        <v>0.99</v>
      </c>
      <c r="M27" s="147">
        <v>1.71</v>
      </c>
      <c r="N27" s="149"/>
      <c r="O27" s="147" t="s">
        <v>276</v>
      </c>
      <c r="P27" s="142"/>
      <c r="Q27" s="146">
        <v>9</v>
      </c>
      <c r="R27" s="147">
        <v>6</v>
      </c>
      <c r="S27" s="142">
        <v>3</v>
      </c>
      <c r="T27" s="146">
        <v>14</v>
      </c>
      <c r="U27" s="146">
        <v>1</v>
      </c>
    </row>
    <row r="28" spans="4:21">
      <c r="D28" s="135" t="s">
        <v>404</v>
      </c>
      <c r="E28" s="135">
        <f>AVERAGE(B23,C24,D25,E26)</f>
        <v>0.944466916515896</v>
      </c>
      <c r="G28" s="135" t="s">
        <v>12</v>
      </c>
      <c r="H28" s="142"/>
      <c r="I28" s="146"/>
      <c r="J28" s="135">
        <v>1.34</v>
      </c>
      <c r="K28" s="142">
        <v>1.38</v>
      </c>
      <c r="L28" s="146">
        <v>0.99</v>
      </c>
      <c r="M28" s="135">
        <v>1.13</v>
      </c>
      <c r="N28" s="149"/>
      <c r="O28" s="135" t="s">
        <v>12</v>
      </c>
      <c r="P28" s="142"/>
      <c r="Q28" s="146"/>
      <c r="R28" s="135">
        <v>2</v>
      </c>
      <c r="S28" s="142">
        <v>1</v>
      </c>
      <c r="T28" s="146">
        <v>3</v>
      </c>
      <c r="U28" s="135">
        <v>5</v>
      </c>
    </row>
    <row r="30" spans="1:1">
      <c r="A30" s="135" t="s">
        <v>407</v>
      </c>
    </row>
    <row r="31" ht="13.5" spans="1:1">
      <c r="A31" s="136" t="s">
        <v>408</v>
      </c>
    </row>
    <row r="32" ht="28" spans="1:3">
      <c r="A32" s="135" t="s">
        <v>400</v>
      </c>
      <c r="B32" s="140" t="s">
        <v>409</v>
      </c>
      <c r="C32" s="140" t="s">
        <v>410</v>
      </c>
    </row>
    <row r="33" spans="1:3">
      <c r="A33" s="135" t="s">
        <v>411</v>
      </c>
      <c r="B33" s="138">
        <v>0.882208588957055</v>
      </c>
      <c r="C33" s="138">
        <v>0.16441717791411</v>
      </c>
    </row>
    <row r="34" spans="1:3">
      <c r="A34" s="135" t="s">
        <v>412</v>
      </c>
      <c r="B34" s="138">
        <v>0.825153374233129</v>
      </c>
      <c r="C34" s="138">
        <v>0.307975460122699</v>
      </c>
    </row>
    <row r="35" spans="1:3">
      <c r="A35" s="135" t="s">
        <v>413</v>
      </c>
      <c r="B35" s="138">
        <v>0.679754601226993</v>
      </c>
      <c r="C35" s="138">
        <v>0.453374233128834</v>
      </c>
    </row>
    <row r="36" spans="2:3">
      <c r="B36" s="138">
        <v>0.574846625766871</v>
      </c>
      <c r="C36" s="138">
        <v>0.552760736196319</v>
      </c>
    </row>
    <row r="37" spans="2:3">
      <c r="B37" s="138">
        <v>0.539877300613496</v>
      </c>
      <c r="C37" s="138">
        <v>0.670552147239263</v>
      </c>
    </row>
    <row r="38" spans="2:3">
      <c r="B38" s="138">
        <v>0.46441717791411</v>
      </c>
      <c r="C38" s="138">
        <v>0.747852760736196</v>
      </c>
    </row>
    <row r="39" spans="2:3">
      <c r="B39" s="138">
        <v>0.414723926380368</v>
      </c>
      <c r="C39" s="138">
        <v>0.821472392638036</v>
      </c>
    </row>
    <row r="40" spans="2:3">
      <c r="B40" s="138">
        <v>0.377914110429447</v>
      </c>
      <c r="C40" s="138">
        <v>0.882208588957055</v>
      </c>
    </row>
    <row r="41" spans="2:3">
      <c r="B41" s="138">
        <v>0.339263803680981</v>
      </c>
      <c r="C41" s="138">
        <v>0.928220858895705</v>
      </c>
    </row>
    <row r="42" spans="1:3">
      <c r="A42" s="135" t="s">
        <v>414</v>
      </c>
      <c r="B42" s="138">
        <v>0.335582822085889</v>
      </c>
      <c r="C42" s="138">
        <v>0.987116564417178</v>
      </c>
    </row>
    <row r="43" ht="14.5" spans="2:3">
      <c r="B43" s="36"/>
      <c r="C43" s="36"/>
    </row>
    <row r="44" spans="1:2">
      <c r="A44" s="135" t="s">
        <v>415</v>
      </c>
      <c r="B44" s="135" t="s">
        <v>416</v>
      </c>
    </row>
    <row r="45" ht="13.5" spans="1:1">
      <c r="A45" s="136" t="s">
        <v>417</v>
      </c>
    </row>
    <row r="46" spans="1:9">
      <c r="A46" s="135" t="s">
        <v>418</v>
      </c>
      <c r="B46" s="135" t="s">
        <v>419</v>
      </c>
      <c r="C46" s="135" t="s">
        <v>420</v>
      </c>
      <c r="G46" s="135" t="s">
        <v>421</v>
      </c>
      <c r="H46" s="135" t="s">
        <v>419</v>
      </c>
      <c r="I46" s="135" t="s">
        <v>420</v>
      </c>
    </row>
    <row r="47" spans="1:9">
      <c r="A47" s="135" t="s">
        <v>422</v>
      </c>
      <c r="B47" s="135">
        <v>1</v>
      </c>
      <c r="C47" s="135">
        <v>1</v>
      </c>
      <c r="G47" s="135" t="s">
        <v>422</v>
      </c>
      <c r="H47" s="135">
        <v>1</v>
      </c>
      <c r="I47" s="135">
        <v>1</v>
      </c>
    </row>
    <row r="48" spans="1:9">
      <c r="A48" s="135" t="s">
        <v>423</v>
      </c>
      <c r="B48" s="135">
        <v>1.12227074235807</v>
      </c>
      <c r="C48" s="135">
        <v>3.47598253275108</v>
      </c>
      <c r="G48" s="135" t="s">
        <v>423</v>
      </c>
      <c r="H48" s="135">
        <v>0.971462998293</v>
      </c>
      <c r="I48" s="135">
        <v>4.20471934933226</v>
      </c>
    </row>
    <row r="49" spans="1:9">
      <c r="A49" s="135" t="s">
        <v>413</v>
      </c>
      <c r="B49" s="135">
        <v>1.21397379912663</v>
      </c>
      <c r="C49" s="135">
        <v>4.57641921397379</v>
      </c>
      <c r="G49" s="135" t="s">
        <v>413</v>
      </c>
      <c r="H49" s="135">
        <v>1.14125112963148</v>
      </c>
      <c r="I49" s="135">
        <v>3.097314991465</v>
      </c>
    </row>
    <row r="50" spans="2:9">
      <c r="B50" s="135">
        <v>1.24454148471615</v>
      </c>
      <c r="C50" s="135">
        <v>8.18340611353711</v>
      </c>
      <c r="H50" s="135">
        <v>1.05232252234159</v>
      </c>
      <c r="I50" s="135">
        <v>4.05925092880811</v>
      </c>
    </row>
    <row r="51" spans="2:9">
      <c r="B51" s="135">
        <v>1.03056768558951</v>
      </c>
      <c r="C51" s="135">
        <v>9.28384279475982</v>
      </c>
      <c r="H51" s="135">
        <v>1.15738929611406</v>
      </c>
      <c r="I51" s="135">
        <v>5.60311677879305</v>
      </c>
    </row>
    <row r="53" spans="1:2">
      <c r="A53" s="135" t="s">
        <v>424</v>
      </c>
      <c r="B53" s="135" t="s">
        <v>425</v>
      </c>
    </row>
    <row r="54" ht="13.5" spans="1:1">
      <c r="A54" s="136" t="s">
        <v>395</v>
      </c>
    </row>
    <row r="55" spans="1:7">
      <c r="A55" s="135" t="s">
        <v>421</v>
      </c>
      <c r="B55" s="138" t="s">
        <v>426</v>
      </c>
      <c r="C55" s="135" t="s">
        <v>427</v>
      </c>
      <c r="D55" s="135" t="s">
        <v>428</v>
      </c>
      <c r="E55" s="138" t="s">
        <v>429</v>
      </c>
      <c r="G55" s="135" t="s">
        <v>430</v>
      </c>
    </row>
    <row r="56" spans="1:7">
      <c r="A56" s="135" t="s">
        <v>431</v>
      </c>
      <c r="B56" s="138">
        <v>0.64</v>
      </c>
      <c r="C56" s="135">
        <v>0.72</v>
      </c>
      <c r="D56" s="135">
        <v>0.73</v>
      </c>
      <c r="E56" s="138">
        <v>0.85</v>
      </c>
      <c r="G56" s="135">
        <v>0.85</v>
      </c>
    </row>
    <row r="57" spans="1:7">
      <c r="A57" s="135" t="s">
        <v>432</v>
      </c>
      <c r="B57" s="138">
        <v>0.35</v>
      </c>
      <c r="C57" s="135">
        <v>0.39</v>
      </c>
      <c r="D57" s="135">
        <v>0.41</v>
      </c>
      <c r="E57" s="138">
        <v>0.91</v>
      </c>
      <c r="G57" s="135">
        <v>0.91</v>
      </c>
    </row>
    <row r="58" spans="1:7">
      <c r="A58" s="135" t="s">
        <v>433</v>
      </c>
      <c r="B58" s="135">
        <v>0.56</v>
      </c>
      <c r="C58" s="135">
        <v>0.54</v>
      </c>
      <c r="D58" s="135">
        <v>0.57</v>
      </c>
      <c r="E58" s="135">
        <v>1.12</v>
      </c>
      <c r="G58" s="135">
        <v>1.11</v>
      </c>
    </row>
    <row r="63" spans="1:1">
      <c r="A63" s="135" t="s">
        <v>434</v>
      </c>
    </row>
    <row r="64" ht="13.5" spans="1:1">
      <c r="A64" s="136" t="s">
        <v>435</v>
      </c>
    </row>
    <row r="66" spans="1:9">
      <c r="A66" s="135" t="s">
        <v>418</v>
      </c>
      <c r="B66" s="138" t="s">
        <v>436</v>
      </c>
      <c r="C66" s="138" t="s">
        <v>437</v>
      </c>
      <c r="D66" s="138" t="s">
        <v>438</v>
      </c>
      <c r="E66" s="138" t="s">
        <v>439</v>
      </c>
      <c r="F66" s="138"/>
      <c r="G66" s="138" t="s">
        <v>440</v>
      </c>
      <c r="H66" s="138" t="s">
        <v>441</v>
      </c>
      <c r="I66" s="138" t="s">
        <v>442</v>
      </c>
    </row>
    <row r="67" spans="1:9">
      <c r="A67" s="135" t="s">
        <v>411</v>
      </c>
      <c r="B67" s="138">
        <v>0.609504132231404</v>
      </c>
      <c r="C67" s="138">
        <v>0.34090909090909</v>
      </c>
      <c r="D67" s="138">
        <v>0.289256198347107</v>
      </c>
      <c r="E67" s="138">
        <v>0.464757709251101</v>
      </c>
      <c r="F67" s="138"/>
      <c r="G67" s="138">
        <v>0.162995594713656</v>
      </c>
      <c r="H67" s="138">
        <v>0.100896860986547</v>
      </c>
      <c r="I67" s="138">
        <v>0.334080717488789</v>
      </c>
    </row>
    <row r="68" spans="1:9">
      <c r="A68" s="135" t="s">
        <v>412</v>
      </c>
      <c r="B68" s="138">
        <v>0.836776859504132</v>
      </c>
      <c r="C68" s="138">
        <v>0.700413223140495</v>
      </c>
      <c r="D68" s="138">
        <v>0.683884297520661</v>
      </c>
      <c r="E68" s="138">
        <v>0.702643171806167</v>
      </c>
      <c r="F68" s="138"/>
      <c r="G68" s="138">
        <v>0.337004405286343</v>
      </c>
      <c r="H68" s="138">
        <v>0.208520179372197</v>
      </c>
      <c r="I68" s="138">
        <v>0.551569506726457</v>
      </c>
    </row>
    <row r="69" spans="1:9">
      <c r="A69" s="135" t="s">
        <v>413</v>
      </c>
      <c r="B69" s="138">
        <v>0.81198347107438</v>
      </c>
      <c r="C69" s="138">
        <v>0.832644628099173</v>
      </c>
      <c r="D69" s="138">
        <v>0.969008264462809</v>
      </c>
      <c r="E69" s="138">
        <v>0.74669603524229</v>
      </c>
      <c r="F69" s="138"/>
      <c r="G69" s="138">
        <v>0.522026431718061</v>
      </c>
      <c r="H69" s="138">
        <v>0.340807174887892</v>
      </c>
      <c r="I69" s="138">
        <v>0.679372197309417</v>
      </c>
    </row>
    <row r="70" spans="2:9">
      <c r="B70" s="138">
        <v>0.789256198347107</v>
      </c>
      <c r="C70" s="138">
        <v>0.909090909090909</v>
      </c>
      <c r="D70" s="138">
        <v>0.942148760330578</v>
      </c>
      <c r="E70" s="138">
        <v>0.788546255506608</v>
      </c>
      <c r="F70" s="138"/>
      <c r="G70" s="138">
        <v>0.685022026431718</v>
      </c>
      <c r="H70" s="138">
        <v>0.470852017937219</v>
      </c>
      <c r="I70" s="138">
        <v>0.692825112107623</v>
      </c>
    </row>
    <row r="71" spans="2:9">
      <c r="B71" s="138">
        <v>0.84090909090909</v>
      </c>
      <c r="C71" s="138">
        <v>0.890495867768595</v>
      </c>
      <c r="D71" s="138">
        <v>0.84297520661157</v>
      </c>
      <c r="E71" s="138">
        <v>0.874449339207048</v>
      </c>
      <c r="F71" s="138"/>
      <c r="G71" s="138">
        <v>0.865638766519823</v>
      </c>
      <c r="H71" s="138">
        <v>0.612107623318385</v>
      </c>
      <c r="I71" s="138">
        <v>0.798206278026905</v>
      </c>
    </row>
    <row r="72" spans="2:9">
      <c r="B72" s="138">
        <v>0.909090909090909</v>
      </c>
      <c r="C72" s="138">
        <v>0.869834710743801</v>
      </c>
      <c r="D72" s="138">
        <v>0.743801652892562</v>
      </c>
      <c r="E72" s="138">
        <v>0.854625550660792</v>
      </c>
      <c r="F72" s="138"/>
      <c r="G72" s="138">
        <v>0.929515418502202</v>
      </c>
      <c r="H72" s="138">
        <v>0.724215246636771</v>
      </c>
      <c r="I72" s="138">
        <v>0.789237668161435</v>
      </c>
    </row>
    <row r="73" spans="2:9">
      <c r="B73" s="138">
        <v>0.902892561983471</v>
      </c>
      <c r="C73" s="138">
        <v>0.838842975206611</v>
      </c>
      <c r="D73" s="138">
        <v>0.683884297520661</v>
      </c>
      <c r="E73" s="138">
        <v>0.839207048458149</v>
      </c>
      <c r="F73" s="138"/>
      <c r="G73" s="138">
        <v>0.929515418502202</v>
      </c>
      <c r="H73" s="138">
        <v>0.820627802690583</v>
      </c>
      <c r="I73" s="138">
        <v>0.827354260089686</v>
      </c>
    </row>
    <row r="74" spans="2:9">
      <c r="B74" s="138">
        <v>0.754132231404958</v>
      </c>
      <c r="C74" s="138">
        <v>0.900826446280991</v>
      </c>
      <c r="D74" s="138">
        <v>0.646694214876033</v>
      </c>
      <c r="E74" s="138">
        <v>0.68942731277533</v>
      </c>
      <c r="F74" s="138"/>
      <c r="G74" s="138">
        <v>0.940528634361233</v>
      </c>
      <c r="H74" s="138">
        <v>0.914798206278027</v>
      </c>
      <c r="I74" s="138">
        <v>0.874439461883408</v>
      </c>
    </row>
    <row r="75" spans="2:9">
      <c r="B75" s="138">
        <v>0.789256198347107</v>
      </c>
      <c r="C75" s="138">
        <v>0.87190082644628</v>
      </c>
      <c r="D75" s="138">
        <v>0.597107438016528</v>
      </c>
      <c r="E75" s="138">
        <v>0.667400881057268</v>
      </c>
      <c r="F75" s="138"/>
      <c r="G75" s="138">
        <v>0.881057268722466</v>
      </c>
      <c r="H75" s="138">
        <v>0.970852017937219</v>
      </c>
      <c r="I75" s="138">
        <v>0.970852017937219</v>
      </c>
    </row>
    <row r="76" spans="1:9">
      <c r="A76" s="135" t="s">
        <v>414</v>
      </c>
      <c r="B76" s="138">
        <v>0.706611570247933</v>
      </c>
      <c r="C76" s="138">
        <v>0.849173553719008</v>
      </c>
      <c r="D76" s="138">
        <v>0.700413223140495</v>
      </c>
      <c r="E76" s="138">
        <v>0.605726872246696</v>
      </c>
      <c r="F76" s="138"/>
      <c r="G76" s="138">
        <v>0.748898678414097</v>
      </c>
      <c r="H76" s="138">
        <v>0.977578475336323</v>
      </c>
      <c r="I76" s="138">
        <v>0.977578475336323</v>
      </c>
    </row>
    <row r="77" spans="1:9">
      <c r="A77" s="135" t="s">
        <v>443</v>
      </c>
      <c r="B77" s="135">
        <v>0.390495867768595</v>
      </c>
      <c r="C77" s="135">
        <v>0.328512396694214</v>
      </c>
      <c r="D77" s="135">
        <v>0.225206611570247</v>
      </c>
      <c r="E77" s="135">
        <v>0.45374449339207</v>
      </c>
      <c r="G77" s="135">
        <v>0.178414096916299</v>
      </c>
      <c r="H77" s="135">
        <v>0.179372197309417</v>
      </c>
      <c r="I77" s="135">
        <v>0.376681614349775</v>
      </c>
    </row>
    <row r="81" spans="2:5">
      <c r="B81" s="135" t="s">
        <v>444</v>
      </c>
      <c r="C81" s="135" t="s">
        <v>445</v>
      </c>
      <c r="D81" s="135" t="s">
        <v>446</v>
      </c>
      <c r="E81" s="135" t="s">
        <v>447</v>
      </c>
    </row>
  </sheetData>
  <hyperlinks>
    <hyperlink ref="A1" r:id="rId1" display="Layer-Dependent Short-Term Synaptic Plasticity Between Excitatory Neurons in the C2 Barrel Column of Mouse Primary Somatosensory Cortex "/>
    <hyperlink ref="A31" r:id="rId2" display="Supralinear increase of recurrent inhibition during sparse activity in the somatosensory cortex"/>
    <hyperlink ref="A45" r:id="rId3" display="In Vivo Measurement of Cell-Type-Specific Synaptic Connectivity and Synaptic Transmission in Layer 2/3 Mouse Barrel Cortex"/>
    <hyperlink ref="A64" r:id="rId4" display="Cooperative Subnetworks of Molecularly Similar Interneurons in Mouse Neocortex"/>
    <hyperlink ref="A54" r:id="rId5" display="Short-Term Plasticity of Unitary Inhibitory-to-Inhibitory&#10;Synapses Depends on the Presynaptic Interneuron Subtype&#10;"/>
    <hyperlink ref="B1" r:id="rId6" display="https://doi.org/10.1093/cercor/bhx094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pop</vt:lpstr>
      <vt:lpstr>cnn</vt:lpstr>
      <vt:lpstr>ctsp</vt:lpstr>
      <vt:lpstr>fr+epsp</vt:lpstr>
      <vt:lpstr>tau_syn</vt:lpstr>
      <vt:lpstr>TC</vt:lpstr>
      <vt:lpstr>gap</vt:lpstr>
      <vt:lpstr>ipsp</vt:lpstr>
      <vt:lpstr>stp</vt:lpstr>
      <vt:lpstr>etc.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HanJia</dc:creator>
  <cp:lastModifiedBy>hanjia</cp:lastModifiedBy>
  <cp:revision>61</cp:revision>
  <dcterms:created xsi:type="dcterms:W3CDTF">2015-06-09T17:17:00Z</dcterms:created>
  <dcterms:modified xsi:type="dcterms:W3CDTF">2020-08-10T21:44:22Z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1033-11.1.0.8392</vt:lpwstr>
  </property>
</Properties>
</file>