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hpvsim/data/"/>
    </mc:Choice>
  </mc:AlternateContent>
  <xr:revisionPtr revIDLastSave="0" documentId="13_ncr:1_{20AE4D81-C2EC-A044-A09B-A51621B3AB91}" xr6:coauthVersionLast="36" xr6:coauthVersionMax="36" xr10:uidLastSave="{00000000-0000-0000-0000-000000000000}"/>
  <bookViews>
    <workbookView xWindow="180" yWindow="500" windowWidth="27240" windowHeight="15560" xr2:uid="{2BDBFF24-AB52-564F-A66B-D2A1566107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AF14" i="1"/>
  <c r="AE14" i="1"/>
  <c r="AD14" i="1"/>
  <c r="AA14" i="1"/>
  <c r="Z14" i="1"/>
  <c r="U14" i="1"/>
  <c r="AC14" i="1" s="1"/>
  <c r="T14" i="1"/>
  <c r="AB14" i="1" s="1"/>
  <c r="M14" i="1"/>
  <c r="L14" i="1"/>
  <c r="I5" i="1"/>
  <c r="H5" i="1"/>
  <c r="G5" i="1"/>
  <c r="F5" i="1"/>
  <c r="E5" i="1"/>
  <c r="D5" i="1"/>
  <c r="C5" i="1"/>
  <c r="I6" i="1"/>
  <c r="H6" i="1"/>
  <c r="G6" i="1"/>
  <c r="F6" i="1"/>
  <c r="E6" i="1"/>
  <c r="D6" i="1"/>
  <c r="C6" i="1"/>
  <c r="I7" i="1"/>
  <c r="H7" i="1"/>
  <c r="G7" i="1"/>
  <c r="F7" i="1"/>
  <c r="E7" i="1"/>
  <c r="D7" i="1"/>
  <c r="C7" i="1"/>
  <c r="I8" i="1"/>
  <c r="H8" i="1"/>
  <c r="G8" i="1"/>
  <c r="F8" i="1"/>
  <c r="E8" i="1"/>
  <c r="D8" i="1"/>
  <c r="C8" i="1"/>
  <c r="I9" i="1"/>
  <c r="H9" i="1"/>
  <c r="G9" i="1"/>
  <c r="F9" i="1"/>
  <c r="E9" i="1"/>
  <c r="D9" i="1"/>
  <c r="C9" i="1"/>
  <c r="I10" i="1"/>
  <c r="H10" i="1"/>
  <c r="G10" i="1"/>
  <c r="F10" i="1"/>
  <c r="E10" i="1"/>
  <c r="D10" i="1"/>
  <c r="C10" i="1"/>
  <c r="I11" i="1"/>
  <c r="H11" i="1"/>
  <c r="G11" i="1"/>
  <c r="F11" i="1"/>
  <c r="E11" i="1"/>
  <c r="D11" i="1"/>
  <c r="C11" i="1"/>
  <c r="I12" i="1"/>
  <c r="H12" i="1"/>
  <c r="G12" i="1"/>
  <c r="F12" i="1"/>
  <c r="E12" i="1"/>
  <c r="D12" i="1"/>
  <c r="C12" i="1"/>
  <c r="I13" i="1"/>
  <c r="H13" i="1"/>
  <c r="G13" i="1"/>
  <c r="F13" i="1"/>
  <c r="E13" i="1"/>
  <c r="D13" i="1"/>
  <c r="C13" i="1"/>
  <c r="I14" i="1"/>
  <c r="H14" i="1"/>
  <c r="G14" i="1"/>
  <c r="F14" i="1"/>
  <c r="E14" i="1"/>
  <c r="D14" i="1"/>
  <c r="C14" i="1"/>
  <c r="I15" i="1"/>
  <c r="H15" i="1"/>
  <c r="G15" i="1"/>
  <c r="F15" i="1"/>
  <c r="E15" i="1"/>
  <c r="D15" i="1"/>
  <c r="C15" i="1"/>
  <c r="I16" i="1"/>
  <c r="H16" i="1"/>
  <c r="G16" i="1"/>
  <c r="F16" i="1"/>
  <c r="E16" i="1"/>
  <c r="D16" i="1"/>
  <c r="C16" i="1"/>
  <c r="I17" i="1"/>
  <c r="H17" i="1"/>
  <c r="G17" i="1"/>
  <c r="F17" i="1"/>
  <c r="E17" i="1"/>
  <c r="D17" i="1"/>
  <c r="C17" i="1"/>
  <c r="I18" i="1"/>
  <c r="H18" i="1"/>
  <c r="G18" i="1"/>
  <c r="F18" i="1"/>
  <c r="E18" i="1"/>
  <c r="D18" i="1"/>
  <c r="C18" i="1"/>
  <c r="H19" i="1"/>
  <c r="G19" i="1"/>
  <c r="F19" i="1"/>
  <c r="E19" i="1"/>
  <c r="D19" i="1"/>
  <c r="C19" i="1"/>
  <c r="H20" i="1"/>
  <c r="G20" i="1"/>
  <c r="F20" i="1"/>
  <c r="E20" i="1"/>
  <c r="D20" i="1"/>
  <c r="C20" i="1"/>
  <c r="I22" i="1"/>
  <c r="H22" i="1"/>
  <c r="G22" i="1"/>
  <c r="F22" i="1"/>
  <c r="E22" i="1"/>
  <c r="D22" i="1"/>
  <c r="C22" i="1"/>
  <c r="H21" i="1"/>
  <c r="G21" i="1"/>
  <c r="F21" i="1"/>
  <c r="E21" i="1"/>
  <c r="D21" i="1"/>
  <c r="C21" i="1"/>
  <c r="B21" i="1"/>
  <c r="C23" i="1"/>
  <c r="D23" i="1"/>
  <c r="E23" i="1"/>
  <c r="F23" i="1"/>
  <c r="G23" i="1"/>
  <c r="H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J3" authorId="0" shapeId="0" xr:uid="{73003C4D-0960-434A-95BB-F05DF04BFC9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</t>
        </r>
        <r>
          <rPr>
            <sz val="10"/>
            <color rgb="FF000000"/>
            <rFont val="Tahoma"/>
            <family val="2"/>
          </rPr>
          <t>http://www.samj.org.za/index.php/samj/article/view/6514/5059</t>
        </r>
      </text>
    </comment>
    <comment ref="A21" authorId="0" shapeId="0" xr:uid="{0A72A182-6BAF-A646-9BE7-DF172C2EB1C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https://www.nicd.ac.za/wp-content/uploads/2020/12/NCR_2017_Final_02dec2020.pdf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11, row "cervix"</t>
        </r>
      </text>
    </comment>
    <comment ref="A22" authorId="0" shapeId="0" xr:uid="{E83A7F09-36D9-A34F-9869-B131661AD3F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</t>
        </r>
        <r>
          <rPr>
            <sz val="10"/>
            <color rgb="FF000000"/>
            <rFont val="Tahoma"/>
            <family val="2"/>
          </rPr>
          <t xml:space="preserve">https://www.nicd.ac.za/wp-content/uploads/2021/12/NCR_Path_2018_Full_Report_8dec2021.pdf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11, row "cervix"</t>
        </r>
      </text>
    </comment>
    <comment ref="A23" authorId="0" shapeId="0" xr:uid="{7835E799-0CA1-C046-9DF7-D429F45FCE8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</t>
        </r>
        <r>
          <rPr>
            <sz val="10"/>
            <color rgb="FF000000"/>
            <rFont val="Tahoma"/>
            <family val="2"/>
          </rPr>
          <t xml:space="preserve">https://www.nicd.ac.za/wp-content/uploads/2021/12/NCR_Path_2019_Full_Report_8dec2021.pdf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11, row "cervix"</t>
        </r>
      </text>
    </comment>
  </commentList>
</comments>
</file>

<file path=xl/sharedStrings.xml><?xml version="1.0" encoding="utf-8"?>
<sst xmlns="http://schemas.openxmlformats.org/spreadsheetml/2006/main" count="132" uniqueCount="19">
  <si>
    <t>0-19</t>
  </si>
  <si>
    <t>20-29</t>
  </si>
  <si>
    <t>30-39</t>
  </si>
  <si>
    <t>40-49</t>
  </si>
  <si>
    <t>50-59</t>
  </si>
  <si>
    <t>60-69</t>
  </si>
  <si>
    <t>70-79</t>
  </si>
  <si>
    <t>80+</t>
  </si>
  <si>
    <t>hpv_prevalence_by_age</t>
  </si>
  <si>
    <t>new_total_cancers_by_age</t>
  </si>
  <si>
    <t>HPV16</t>
  </si>
  <si>
    <t>HPV18</t>
  </si>
  <si>
    <t>otherHR</t>
  </si>
  <si>
    <t>name</t>
  </si>
  <si>
    <t>age</t>
  </si>
  <si>
    <t>genotype</t>
  </si>
  <si>
    <t>total</t>
  </si>
  <si>
    <t>sex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</si>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</sst>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2691-F7C5-B447-AD6F-7138B02EAF71}">
  <dimension ref="A1:AG24"/>
  <sheetViews>
    <sheetView tabSelected="1" workbookViewId="0">
      <selection activeCell="C24" sqref="C24"/>
    </sheetView>
  </sheetViews>
  <sheetFormatPr baseColWidth="10" defaultRowHeight="16"/>
  <cols>
    <col min="2" max="2" width="10.83203125" customWidth="1"/>
    <col min="28" max="28" width="11.6640625" customWidth="1"/>
  </cols>
  <sheetData>
    <row r="1" spans="1:33">
      <c r="A1" s="1" t="s">
        <v>13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  <c r="AA1" s="2" t="s">
        <v>8</v>
      </c>
      <c r="AB1" s="2" t="s">
        <v>8</v>
      </c>
      <c r="AC1" s="2" t="s">
        <v>8</v>
      </c>
      <c r="AD1" s="2" t="s">
        <v>8</v>
      </c>
      <c r="AE1" s="2" t="s">
        <v>8</v>
      </c>
      <c r="AF1" s="2" t="s">
        <v>8</v>
      </c>
      <c r="AG1" s="2" t="s">
        <v>8</v>
      </c>
    </row>
    <row r="2" spans="1:33">
      <c r="A2" s="1" t="s">
        <v>14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</row>
    <row r="3" spans="1:33">
      <c r="A3" s="1" t="s">
        <v>15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</row>
    <row r="4" spans="1:33">
      <c r="A4" s="1" t="s">
        <v>17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t="s">
        <v>16</v>
      </c>
      <c r="R4" t="s">
        <v>16</v>
      </c>
      <c r="S4" t="s">
        <v>16</v>
      </c>
      <c r="T4" t="s">
        <v>16</v>
      </c>
      <c r="U4" t="s">
        <v>16</v>
      </c>
      <c r="V4" t="s">
        <v>16</v>
      </c>
      <c r="W4" t="s">
        <v>16</v>
      </c>
      <c r="X4" t="s">
        <v>16</v>
      </c>
      <c r="Y4" t="s">
        <v>16</v>
      </c>
      <c r="Z4" t="s">
        <v>16</v>
      </c>
      <c r="AA4" t="s">
        <v>16</v>
      </c>
      <c r="AB4" t="s">
        <v>16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</row>
    <row r="5" spans="1:33">
      <c r="A5">
        <v>2001</v>
      </c>
      <c r="B5">
        <v>7</v>
      </c>
      <c r="C5">
        <f>28+110</f>
        <v>138</v>
      </c>
      <c r="D5">
        <f>256+453</f>
        <v>709</v>
      </c>
      <c r="E5">
        <f>556+624</f>
        <v>1180</v>
      </c>
      <c r="F5">
        <f>611+461</f>
        <v>1072</v>
      </c>
      <c r="G5">
        <f>534+382</f>
        <v>916</v>
      </c>
      <c r="H5">
        <f>275+118</f>
        <v>393</v>
      </c>
      <c r="I5">
        <f>87+24</f>
        <v>111</v>
      </c>
    </row>
    <row r="6" spans="1:33">
      <c r="A6">
        <v>2002</v>
      </c>
      <c r="B6">
        <v>6</v>
      </c>
      <c r="C6">
        <f>24+82</f>
        <v>106</v>
      </c>
      <c r="D6">
        <f>263+416</f>
        <v>679</v>
      </c>
      <c r="E6">
        <f>607+586</f>
        <v>1193</v>
      </c>
      <c r="F6">
        <f>609+490</f>
        <v>1099</v>
      </c>
      <c r="G6">
        <f>542+373</f>
        <v>915</v>
      </c>
      <c r="H6">
        <f>296+146</f>
        <v>442</v>
      </c>
      <c r="I6">
        <f>99+51</f>
        <v>150</v>
      </c>
    </row>
    <row r="7" spans="1:33">
      <c r="A7">
        <v>2003</v>
      </c>
      <c r="B7">
        <v>5</v>
      </c>
      <c r="C7">
        <f>23+102</f>
        <v>125</v>
      </c>
      <c r="D7">
        <f>209+392</f>
        <v>601</v>
      </c>
      <c r="E7">
        <f>528+650</f>
        <v>1178</v>
      </c>
      <c r="F7">
        <f>556+471</f>
        <v>1027</v>
      </c>
      <c r="G7">
        <f>471+368</f>
        <v>839</v>
      </c>
      <c r="H7">
        <f>237+148</f>
        <v>385</v>
      </c>
      <c r="I7">
        <f>71+56</f>
        <v>127</v>
      </c>
    </row>
    <row r="8" spans="1:33">
      <c r="A8">
        <v>2004</v>
      </c>
      <c r="B8">
        <v>1</v>
      </c>
      <c r="C8">
        <f>17+97</f>
        <v>114</v>
      </c>
      <c r="D8">
        <f>235+441</f>
        <v>676</v>
      </c>
      <c r="E8">
        <f>560+598</f>
        <v>1158</v>
      </c>
      <c r="F8">
        <f>580+497</f>
        <v>1077</v>
      </c>
      <c r="G8">
        <f>487+360</f>
        <v>847</v>
      </c>
      <c r="H8">
        <f>293+130</f>
        <v>423</v>
      </c>
      <c r="I8">
        <f>185</f>
        <v>185</v>
      </c>
    </row>
    <row r="9" spans="1:33">
      <c r="A9">
        <v>2005</v>
      </c>
      <c r="B9">
        <v>5</v>
      </c>
      <c r="C9">
        <f>17+106</f>
        <v>123</v>
      </c>
      <c r="D9">
        <f>253+439</f>
        <v>692</v>
      </c>
      <c r="E9">
        <f>591+616</f>
        <v>1207</v>
      </c>
      <c r="F9">
        <f>635+577</f>
        <v>1212</v>
      </c>
      <c r="G9">
        <f>433+351</f>
        <v>784</v>
      </c>
      <c r="H9">
        <f>308+178</f>
        <v>486</v>
      </c>
      <c r="I9">
        <f>81+49</f>
        <v>130</v>
      </c>
    </row>
    <row r="10" spans="1:33">
      <c r="A10">
        <v>2006</v>
      </c>
      <c r="B10">
        <v>4</v>
      </c>
      <c r="C10">
        <f>28+118</f>
        <v>146</v>
      </c>
      <c r="D10">
        <f>335+485</f>
        <v>820</v>
      </c>
      <c r="E10">
        <f>635+619</f>
        <v>1254</v>
      </c>
      <c r="F10">
        <f>642+560</f>
        <v>1202</v>
      </c>
      <c r="G10">
        <f>474+376</f>
        <v>850</v>
      </c>
      <c r="H10">
        <f>303+173</f>
        <v>476</v>
      </c>
      <c r="I10">
        <f>87+51</f>
        <v>138</v>
      </c>
    </row>
    <row r="11" spans="1:33">
      <c r="A11">
        <v>2007</v>
      </c>
      <c r="B11">
        <v>2</v>
      </c>
      <c r="C11">
        <f>22+97</f>
        <v>119</v>
      </c>
      <c r="D11">
        <f>311+446</f>
        <v>757</v>
      </c>
      <c r="E11">
        <f>613+620</f>
        <v>1233</v>
      </c>
      <c r="F11">
        <f>639+559</f>
        <v>1198</v>
      </c>
      <c r="G11">
        <f>447+383</f>
        <v>830</v>
      </c>
      <c r="H11">
        <f>275+193</f>
        <v>468</v>
      </c>
      <c r="I11">
        <f>84+61</f>
        <v>145</v>
      </c>
    </row>
    <row r="12" spans="1:33">
      <c r="A12">
        <v>2008</v>
      </c>
      <c r="B12">
        <v>2</v>
      </c>
      <c r="C12">
        <f>27+129</f>
        <v>156</v>
      </c>
      <c r="D12">
        <f>323+547</f>
        <v>870</v>
      </c>
      <c r="E12">
        <f>632+655</f>
        <v>1287</v>
      </c>
      <c r="F12">
        <f>613+561</f>
        <v>1174</v>
      </c>
      <c r="G12">
        <f>481+405</f>
        <v>886</v>
      </c>
      <c r="H12">
        <f>300+195</f>
        <v>495</v>
      </c>
      <c r="I12">
        <f>97+67</f>
        <v>164</v>
      </c>
    </row>
    <row r="13" spans="1:33">
      <c r="A13">
        <v>2009</v>
      </c>
      <c r="B13">
        <v>5</v>
      </c>
      <c r="C13">
        <f>29+155</f>
        <v>184</v>
      </c>
      <c r="D13">
        <f>341+529</f>
        <v>870</v>
      </c>
      <c r="E13">
        <f>637+697</f>
        <v>1334</v>
      </c>
      <c r="F13">
        <f>660+590</f>
        <v>1250</v>
      </c>
      <c r="G13">
        <f>468+409</f>
        <v>877</v>
      </c>
      <c r="H13">
        <f>255+191</f>
        <v>446</v>
      </c>
      <c r="I13">
        <f>110+84</f>
        <v>194</v>
      </c>
    </row>
    <row r="14" spans="1:33">
      <c r="A14">
        <v>2010</v>
      </c>
      <c r="B14">
        <v>9</v>
      </c>
      <c r="C14">
        <f>26+153</f>
        <v>179</v>
      </c>
      <c r="D14">
        <f>391+550</f>
        <v>941</v>
      </c>
      <c r="E14">
        <f>684+694</f>
        <v>1378</v>
      </c>
      <c r="F14">
        <f>671+603</f>
        <v>1274</v>
      </c>
      <c r="G14">
        <f>488+362</f>
        <v>850</v>
      </c>
      <c r="H14">
        <f>289+186</f>
        <v>475</v>
      </c>
      <c r="I14">
        <f>134+66</f>
        <v>200</v>
      </c>
      <c r="J14" s="4">
        <v>0.17</v>
      </c>
      <c r="K14" s="4">
        <v>0.15</v>
      </c>
      <c r="L14" s="4">
        <f>(0.18*233+0.14*215)/(233+215)</f>
        <v>0.16080357142857141</v>
      </c>
      <c r="M14" s="4">
        <f>(0.141*206+0.106*180)/(206+180)</f>
        <v>0.12467875647668392</v>
      </c>
      <c r="N14" s="4">
        <v>0.10299999999999999</v>
      </c>
      <c r="O14" s="4">
        <v>0.09</v>
      </c>
      <c r="P14" s="4">
        <v>0.08</v>
      </c>
      <c r="Q14" s="4">
        <v>0.05</v>
      </c>
      <c r="R14" s="4">
        <v>0.08</v>
      </c>
      <c r="S14" s="4">
        <v>9.7000000000000003E-2</v>
      </c>
      <c r="T14" s="4">
        <f>(0.099*233+0.084*215)/(233+215)</f>
        <v>9.1801339285714295E-2</v>
      </c>
      <c r="U14" s="4">
        <f>(0.063*206+0.067*180)/(206+180)</f>
        <v>6.486528497409326E-2</v>
      </c>
      <c r="V14" s="4">
        <v>0.05</v>
      </c>
      <c r="W14" s="4">
        <v>0.09</v>
      </c>
      <c r="X14" s="4">
        <v>0.08</v>
      </c>
      <c r="Y14" s="4">
        <v>0.05</v>
      </c>
      <c r="Z14" s="4">
        <f>0.66-R14-J14</f>
        <v>0.41000000000000003</v>
      </c>
      <c r="AA14" s="3">
        <f>0.629-S14-K14</f>
        <v>0.38200000000000001</v>
      </c>
      <c r="AB14" s="4">
        <f>(0.618*233+0.595*215)/(233+215)-T14-L14</f>
        <v>0.35435714285714282</v>
      </c>
      <c r="AC14" s="4">
        <f>(0.558*206+0.444*180)/(206+180)-U14-M14</f>
        <v>0.31529533678756472</v>
      </c>
      <c r="AD14" s="4">
        <f>0.404-V14-N14</f>
        <v>0.25100000000000006</v>
      </c>
      <c r="AE14" s="4">
        <f>0.42-W14-O14</f>
        <v>0.23999999999999996</v>
      </c>
      <c r="AF14" s="4">
        <f>0.4-X14-P14</f>
        <v>0.24</v>
      </c>
      <c r="AG14" s="4">
        <f>0.3-Y14-Q14</f>
        <v>0.2</v>
      </c>
    </row>
    <row r="15" spans="1:33">
      <c r="A15">
        <v>2011</v>
      </c>
      <c r="B15">
        <v>4</v>
      </c>
      <c r="C15">
        <f>7+121</f>
        <v>128</v>
      </c>
      <c r="D15">
        <f>310+547</f>
        <v>857</v>
      </c>
      <c r="E15">
        <f>637+693</f>
        <v>1330</v>
      </c>
      <c r="F15">
        <f>608+551</f>
        <v>1159</v>
      </c>
      <c r="G15">
        <f>426+357</f>
        <v>783</v>
      </c>
      <c r="H15">
        <f>290+143</f>
        <v>433</v>
      </c>
      <c r="I15">
        <f>79+45</f>
        <v>124</v>
      </c>
    </row>
    <row r="16" spans="1:33">
      <c r="A16">
        <v>2012</v>
      </c>
      <c r="B16">
        <v>1</v>
      </c>
      <c r="C16">
        <f>5+80</f>
        <v>85</v>
      </c>
      <c r="D16">
        <f>288+523</f>
        <v>811</v>
      </c>
      <c r="E16">
        <f>716+754</f>
        <v>1470</v>
      </c>
      <c r="F16">
        <f>743+683</f>
        <v>1426</v>
      </c>
      <c r="G16">
        <f>570+377</f>
        <v>947</v>
      </c>
      <c r="H16">
        <f>362+219</f>
        <v>581</v>
      </c>
      <c r="I16">
        <f>147+110</f>
        <v>257</v>
      </c>
    </row>
    <row r="17" spans="1:9">
      <c r="A17">
        <v>2013</v>
      </c>
      <c r="B17">
        <v>5</v>
      </c>
      <c r="C17">
        <f>19+150</f>
        <v>169</v>
      </c>
      <c r="D17">
        <f>385+644</f>
        <v>1029</v>
      </c>
      <c r="E17">
        <f>671+725</f>
        <v>1396</v>
      </c>
      <c r="F17">
        <f>704+655</f>
        <v>1359</v>
      </c>
      <c r="G17">
        <f>500+375</f>
        <v>875</v>
      </c>
      <c r="H17">
        <f>319+204</f>
        <v>523</v>
      </c>
      <c r="I17">
        <f>120+82</f>
        <v>202</v>
      </c>
    </row>
    <row r="18" spans="1:9">
      <c r="A18">
        <v>2014</v>
      </c>
      <c r="B18">
        <v>4</v>
      </c>
      <c r="C18">
        <f>13+114</f>
        <v>127</v>
      </c>
      <c r="D18">
        <f>372+661</f>
        <v>1033</v>
      </c>
      <c r="E18">
        <f>728+720</f>
        <v>1448</v>
      </c>
      <c r="F18">
        <f>699+637</f>
        <v>1336</v>
      </c>
      <c r="G18">
        <f>632+374</f>
        <v>1006</v>
      </c>
      <c r="H18">
        <f>269+180</f>
        <v>449</v>
      </c>
      <c r="I18">
        <f>118+85</f>
        <v>203</v>
      </c>
    </row>
    <row r="19" spans="1:9">
      <c r="A19">
        <v>2015</v>
      </c>
      <c r="B19">
        <v>9</v>
      </c>
      <c r="C19">
        <f>27+138</f>
        <v>165</v>
      </c>
      <c r="D19">
        <f>453+719</f>
        <v>1172</v>
      </c>
      <c r="E19">
        <f>935+888</f>
        <v>1823</v>
      </c>
      <c r="F19">
        <f>818+776</f>
        <v>1594</v>
      </c>
      <c r="G19">
        <f>620+489</f>
        <v>1109</v>
      </c>
      <c r="H19">
        <f>330+233</f>
        <v>563</v>
      </c>
      <c r="I19">
        <v>238</v>
      </c>
    </row>
    <row r="20" spans="1:9">
      <c r="A20">
        <v>2016</v>
      </c>
      <c r="B20">
        <v>10</v>
      </c>
      <c r="C20">
        <f>25+131</f>
        <v>156</v>
      </c>
      <c r="D20">
        <f>508+861</f>
        <v>1369</v>
      </c>
      <c r="E20">
        <f>1018+925</f>
        <v>1943</v>
      </c>
      <c r="F20">
        <f>1008+826</f>
        <v>1834</v>
      </c>
      <c r="G20">
        <f>653+552</f>
        <v>1205</v>
      </c>
      <c r="H20">
        <f>343+222</f>
        <v>565</v>
      </c>
      <c r="I20">
        <v>245</v>
      </c>
    </row>
    <row r="21" spans="1:9">
      <c r="A21">
        <v>2017</v>
      </c>
      <c r="B21">
        <f>6+4</f>
        <v>10</v>
      </c>
      <c r="C21">
        <f>21+128</f>
        <v>149</v>
      </c>
      <c r="D21">
        <f>446+716</f>
        <v>1162</v>
      </c>
      <c r="E21">
        <f>956+931</f>
        <v>1887</v>
      </c>
      <c r="F21">
        <f>845+774</f>
        <v>1619</v>
      </c>
      <c r="G21">
        <f>564+462</f>
        <v>1026</v>
      </c>
      <c r="H21">
        <f>301+212</f>
        <v>513</v>
      </c>
      <c r="I21">
        <v>234</v>
      </c>
    </row>
    <row r="22" spans="1:9">
      <c r="A22">
        <v>2018</v>
      </c>
      <c r="B22">
        <v>7</v>
      </c>
      <c r="C22">
        <f>18+115</f>
        <v>133</v>
      </c>
      <c r="D22">
        <f>441+766</f>
        <v>1207</v>
      </c>
      <c r="E22">
        <f>833+886</f>
        <v>1719</v>
      </c>
      <c r="F22">
        <f>791+723</f>
        <v>1514</v>
      </c>
      <c r="G22">
        <f>557+429</f>
        <v>986</v>
      </c>
      <c r="H22">
        <f>257+205</f>
        <v>462</v>
      </c>
      <c r="I22">
        <f>153</f>
        <v>153</v>
      </c>
    </row>
    <row r="23" spans="1:9">
      <c r="A23">
        <v>2019</v>
      </c>
      <c r="B23">
        <v>2</v>
      </c>
      <c r="C23">
        <f>15+106</f>
        <v>121</v>
      </c>
      <c r="D23">
        <f>448+797</f>
        <v>1245</v>
      </c>
      <c r="E23">
        <f>1023+1036</f>
        <v>2059</v>
      </c>
      <c r="F23">
        <f>843+805</f>
        <v>1648</v>
      </c>
      <c r="G23">
        <f>651+518</f>
        <v>1169</v>
      </c>
      <c r="H23">
        <f>293+202</f>
        <v>495</v>
      </c>
      <c r="I23">
        <v>206</v>
      </c>
    </row>
    <row r="24" spans="1:9">
      <c r="A24">
        <v>2020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Stuart</dc:creator>
  <cp:lastModifiedBy>Robyn Stuart</cp:lastModifiedBy>
  <dcterms:created xsi:type="dcterms:W3CDTF">2022-06-05T23:44:23Z</dcterms:created>
  <dcterms:modified xsi:type="dcterms:W3CDTF">2022-06-06T09:19:23Z</dcterms:modified>
</cp:coreProperties>
</file>