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edu-my.sharepoint.com/personal/hs0420_westminsteru_edu/Documents/Old_classes/FINC 495/Capstone Project/"/>
    </mc:Choice>
  </mc:AlternateContent>
  <xr:revisionPtr revIDLastSave="1434" documentId="8_{8CC08763-213A-3D40-9512-43A80FC001C0}" xr6:coauthVersionLast="47" xr6:coauthVersionMax="47" xr10:uidLastSave="{7C1D25B6-A66B-F940-9A8C-5BEB85D00C41}"/>
  <bookViews>
    <workbookView xWindow="-20620" yWindow="-21600" windowWidth="38400" windowHeight="21600" xr2:uid="{00000000-000D-0000-FFFF-FFFF00000000}"/>
  </bookViews>
  <sheets>
    <sheet name="Assumptions" sheetId="3" r:id="rId1"/>
    <sheet name="Financial Statements" sheetId="1" r:id="rId2"/>
    <sheet name="Valuation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D35" i="3"/>
  <c r="E35" i="3"/>
  <c r="F12" i="1"/>
  <c r="D14" i="3"/>
  <c r="R41" i="1"/>
  <c r="P40" i="1"/>
  <c r="P47" i="1"/>
  <c r="E43" i="1"/>
  <c r="R40" i="1" s="1"/>
  <c r="E42" i="1"/>
  <c r="Q40" i="1" s="1"/>
  <c r="E41" i="1"/>
  <c r="D39" i="3"/>
  <c r="D40" i="3"/>
  <c r="B6" i="3"/>
  <c r="L6" i="3" s="1"/>
  <c r="B7" i="3"/>
  <c r="M6" i="3" s="1"/>
  <c r="Q47" i="1"/>
  <c r="R47" i="1"/>
  <c r="I6" i="4"/>
  <c r="I20" i="4"/>
  <c r="P21" i="1"/>
  <c r="Q21" i="1"/>
  <c r="R21" i="1"/>
  <c r="O21" i="1"/>
  <c r="N13" i="3"/>
  <c r="O13" i="3" s="1"/>
  <c r="O59" i="1"/>
  <c r="P59" i="1"/>
  <c r="Q59" i="1"/>
  <c r="R59" i="1"/>
  <c r="Z11" i="1"/>
  <c r="P13" i="3" l="1"/>
  <c r="Q13" i="3"/>
  <c r="N46" i="1"/>
  <c r="N45" i="1"/>
  <c r="D26" i="3"/>
  <c r="D27" i="3"/>
  <c r="D28" i="3"/>
  <c r="D29" i="3"/>
  <c r="D30" i="3"/>
  <c r="D25" i="3"/>
  <c r="D46" i="3"/>
  <c r="L9" i="3" s="1"/>
  <c r="E30" i="1"/>
  <c r="E24" i="1"/>
  <c r="C8" i="3"/>
  <c r="D49" i="3"/>
  <c r="K7" i="3" l="1"/>
  <c r="J9" i="3"/>
  <c r="J7" i="3"/>
  <c r="Q6" i="3"/>
  <c r="Q9" i="3" s="1"/>
  <c r="Q7" i="3"/>
  <c r="M7" i="3"/>
  <c r="N7" i="3"/>
  <c r="O7" i="3"/>
  <c r="P7" i="3"/>
  <c r="M9" i="3"/>
  <c r="K9" i="3"/>
  <c r="J8" i="3"/>
  <c r="L10" i="3"/>
  <c r="K10" i="3"/>
  <c r="J10" i="3"/>
  <c r="M10" i="3"/>
  <c r="E11" i="1"/>
  <c r="L8" i="3" l="1"/>
  <c r="O8" i="1"/>
  <c r="F19" i="1" s="1"/>
  <c r="N9" i="3"/>
  <c r="O14" i="1" s="1"/>
  <c r="N40" i="1"/>
  <c r="E40" i="1"/>
  <c r="F40" i="1" s="1"/>
  <c r="F11" i="1"/>
  <c r="J11" i="3"/>
  <c r="K8" i="3"/>
  <c r="O9" i="1" l="1"/>
  <c r="F44" i="1"/>
  <c r="O15" i="1" s="1"/>
  <c r="G40" i="1"/>
  <c r="H40" i="1" s="1"/>
  <c r="I40" i="1" s="1"/>
  <c r="N6" i="3"/>
  <c r="K11" i="3"/>
  <c r="O33" i="1"/>
  <c r="N47" i="1"/>
  <c r="O46" i="1"/>
  <c r="P46" i="1"/>
  <c r="Q46" i="1"/>
  <c r="R46" i="1"/>
  <c r="O45" i="1"/>
  <c r="P45" i="1"/>
  <c r="Q45" i="1"/>
  <c r="R45" i="1"/>
  <c r="O41" i="1"/>
  <c r="N41" i="1"/>
  <c r="P33" i="1"/>
  <c r="Q33" i="1"/>
  <c r="R33" i="1"/>
  <c r="E32" i="1"/>
  <c r="N10" i="3" l="1"/>
  <c r="O31" i="1"/>
  <c r="F24" i="1"/>
  <c r="G24" i="1" s="1"/>
  <c r="N42" i="1"/>
  <c r="L11" i="3"/>
  <c r="N48" i="1"/>
  <c r="F30" i="1"/>
  <c r="G30" i="1" s="1"/>
  <c r="H30" i="1" s="1"/>
  <c r="I30" i="1" s="1"/>
  <c r="N31" i="1"/>
  <c r="N30" i="1"/>
  <c r="E25" i="1"/>
  <c r="E13" i="1"/>
  <c r="O6" i="3" l="1"/>
  <c r="P5" i="1" s="1"/>
  <c r="G20" i="1" s="1"/>
  <c r="P8" i="1"/>
  <c r="G19" i="1" s="1"/>
  <c r="N37" i="1"/>
  <c r="N50" i="1" s="1"/>
  <c r="M8" i="3"/>
  <c r="O5" i="1"/>
  <c r="F20" i="1" s="1"/>
  <c r="F13" i="1"/>
  <c r="P22" i="1"/>
  <c r="F25" i="1"/>
  <c r="O22" i="1"/>
  <c r="H24" i="1"/>
  <c r="H25" i="1" s="1"/>
  <c r="G25" i="1"/>
  <c r="M11" i="3" l="1"/>
  <c r="N8" i="3"/>
  <c r="N11" i="3"/>
  <c r="O6" i="1"/>
  <c r="O36" i="1"/>
  <c r="P6" i="1"/>
  <c r="Q8" i="1"/>
  <c r="H19" i="1" s="1"/>
  <c r="R22" i="1"/>
  <c r="Q22" i="1"/>
  <c r="I24" i="1"/>
  <c r="P6" i="3" l="1"/>
  <c r="Q5" i="1" s="1"/>
  <c r="H20" i="1" s="1"/>
  <c r="R8" i="1"/>
  <c r="I19" i="1" s="1"/>
  <c r="P36" i="1"/>
  <c r="P9" i="1"/>
  <c r="P11" i="1" s="1"/>
  <c r="O8" i="3"/>
  <c r="O9" i="3"/>
  <c r="I25" i="1"/>
  <c r="P14" i="1" l="1"/>
  <c r="Q6" i="1"/>
  <c r="Q36" i="1"/>
  <c r="O11" i="1"/>
  <c r="O16" i="1"/>
  <c r="R5" i="1"/>
  <c r="I20" i="1" s="1"/>
  <c r="R14" i="1"/>
  <c r="Q9" i="1"/>
  <c r="P8" i="3"/>
  <c r="P9" i="3"/>
  <c r="Q14" i="1" l="1"/>
  <c r="Q11" i="1"/>
  <c r="O18" i="1"/>
  <c r="P35" i="1"/>
  <c r="O35" i="1"/>
  <c r="O34" i="1"/>
  <c r="P34" i="1"/>
  <c r="R6" i="1"/>
  <c r="R36" i="1"/>
  <c r="Q35" i="1"/>
  <c r="Q34" i="1"/>
  <c r="Q8" i="3"/>
  <c r="O47" i="1" l="1"/>
  <c r="O48" i="1" s="1"/>
  <c r="O40" i="1"/>
  <c r="O42" i="1" s="1"/>
  <c r="O24" i="1"/>
  <c r="O52" i="1" l="1"/>
  <c r="R9" i="1"/>
  <c r="R11" i="1" s="1"/>
  <c r="O55" i="1" l="1"/>
  <c r="O54" i="1"/>
  <c r="R34" i="1"/>
  <c r="R35" i="1"/>
  <c r="O25" i="1" l="1"/>
  <c r="O26" i="1" l="1"/>
  <c r="O30" i="1" s="1"/>
  <c r="O37" i="1" s="1"/>
  <c r="O50" i="1" s="1"/>
  <c r="O58" i="1" l="1"/>
  <c r="O60" i="1" s="1"/>
  <c r="F31" i="1"/>
  <c r="F32" i="1" s="1"/>
  <c r="O61" i="1"/>
  <c r="F6" i="1" l="1"/>
  <c r="F9" i="1"/>
  <c r="F15" i="1" l="1"/>
  <c r="E21" i="1" l="1"/>
  <c r="F21" i="1"/>
  <c r="G21" i="1"/>
  <c r="H21" i="1"/>
  <c r="H27" i="1" s="1"/>
  <c r="I21" i="1"/>
  <c r="E27" i="1"/>
  <c r="E34" i="1" s="1"/>
  <c r="E6" i="1" s="1"/>
  <c r="E9" i="1" s="1"/>
  <c r="E15" i="1" s="1"/>
  <c r="E35" i="1" s="1"/>
  <c r="O64" i="1" l="1"/>
  <c r="E7" i="4" s="1"/>
  <c r="E21" i="4"/>
  <c r="I27" i="1"/>
  <c r="G27" i="1"/>
  <c r="F27" i="1"/>
  <c r="F34" i="1" s="1"/>
  <c r="F35" i="1" s="1"/>
  <c r="I21" i="4" l="1"/>
  <c r="F21" i="4"/>
  <c r="G21" i="4" s="1"/>
  <c r="I7" i="4"/>
  <c r="F7" i="4"/>
  <c r="G7" i="4" l="1"/>
  <c r="P48" i="1"/>
  <c r="Q48" i="1"/>
  <c r="R48" i="1"/>
  <c r="G41" i="1" l="1"/>
  <c r="H41" i="1" s="1"/>
  <c r="G44" i="1"/>
  <c r="G12" i="1" l="1"/>
  <c r="P15" i="1"/>
  <c r="I41" i="1"/>
  <c r="P31" i="1"/>
  <c r="O10" i="3"/>
  <c r="P16" i="1" l="1"/>
  <c r="P18" i="1" s="1"/>
  <c r="O11" i="3"/>
  <c r="P24" i="1" l="1"/>
  <c r="P52" i="1" l="1"/>
  <c r="P42" i="1"/>
  <c r="G11" i="1"/>
  <c r="G13" i="1" l="1"/>
  <c r="P53" i="1"/>
  <c r="P54" i="1" s="1"/>
  <c r="P55" i="1" l="1"/>
  <c r="P25" i="1" s="1"/>
  <c r="P26" i="1" s="1"/>
  <c r="P30" i="1" s="1"/>
  <c r="P37" i="1" s="1"/>
  <c r="P50" i="1" s="1"/>
  <c r="P58" i="1" s="1"/>
  <c r="G31" i="1" l="1"/>
  <c r="G32" i="1" s="1"/>
  <c r="G34" i="1" s="1"/>
  <c r="G6" i="1"/>
  <c r="G9" i="1" s="1"/>
  <c r="P64" i="1" s="1"/>
  <c r="P60" i="1"/>
  <c r="P61" i="1"/>
  <c r="G15" i="1" l="1"/>
  <c r="G35" i="1" s="1"/>
  <c r="E8" i="4"/>
  <c r="I8" i="4" l="1"/>
  <c r="E22" i="4"/>
  <c r="F8" i="4"/>
  <c r="G8" i="4" s="1"/>
  <c r="F22" i="4" l="1"/>
  <c r="G22" i="4" s="1"/>
  <c r="I22" i="4"/>
  <c r="H42" i="1"/>
  <c r="H44" i="1" s="1"/>
  <c r="Q15" i="1" s="1"/>
  <c r="H12" i="1" l="1"/>
  <c r="P10" i="3"/>
  <c r="Q31" i="1"/>
  <c r="I42" i="1"/>
  <c r="Q16" i="1" l="1"/>
  <c r="Q18" i="1" s="1"/>
  <c r="P11" i="3"/>
  <c r="Q24" i="1" l="1"/>
  <c r="Q42" i="1" l="1"/>
  <c r="H11" i="1"/>
  <c r="Q52" i="1"/>
  <c r="Q53" i="1" l="1"/>
  <c r="Q54" i="1" s="1"/>
  <c r="H13" i="1"/>
  <c r="Q55" i="1" l="1"/>
  <c r="Q25" i="1" s="1"/>
  <c r="Q26" i="1" s="1"/>
  <c r="H31" i="1" l="1"/>
  <c r="Q30" i="1"/>
  <c r="Q37" i="1" s="1"/>
  <c r="Q50" i="1" s="1"/>
  <c r="Q58" i="1" s="1"/>
  <c r="H6" i="1" l="1"/>
  <c r="H9" i="1" s="1"/>
  <c r="Q64" i="1" s="1"/>
  <c r="Q60" i="1"/>
  <c r="Q61" i="1"/>
  <c r="H32" i="1"/>
  <c r="H34" i="1" s="1"/>
  <c r="H15" i="1" l="1"/>
  <c r="H35" i="1" s="1"/>
  <c r="E9" i="4"/>
  <c r="E23" i="4" l="1"/>
  <c r="F9" i="4"/>
  <c r="G9" i="4" s="1"/>
  <c r="I9" i="4"/>
  <c r="F23" i="4" l="1"/>
  <c r="G23" i="4" s="1"/>
  <c r="I23" i="4"/>
  <c r="I43" i="1"/>
  <c r="I44" i="1"/>
  <c r="Q10" i="3" l="1"/>
  <c r="Q11" i="3" s="1"/>
  <c r="R15" i="1"/>
  <c r="R16" i="1"/>
  <c r="R18" i="1" s="1"/>
  <c r="I12" i="1"/>
  <c r="R31" i="1"/>
  <c r="R24" i="1" l="1"/>
  <c r="R42" i="1" l="1"/>
  <c r="I11" i="1"/>
  <c r="I13" i="1" s="1"/>
  <c r="R52" i="1"/>
  <c r="R53" i="1" l="1"/>
  <c r="R54" i="1" s="1"/>
  <c r="R55" i="1" l="1"/>
  <c r="R25" i="1" s="1"/>
  <c r="R26" i="1" s="1"/>
  <c r="R30" i="1" l="1"/>
  <c r="R37" i="1" s="1"/>
  <c r="R50" i="1" s="1"/>
  <c r="R58" i="1" s="1"/>
  <c r="I31" i="1"/>
  <c r="I32" i="1" s="1"/>
  <c r="I34" i="1" s="1"/>
  <c r="I6" i="1" l="1"/>
  <c r="I9" i="1" s="1"/>
  <c r="R64" i="1" s="1"/>
  <c r="R60" i="1"/>
  <c r="R61" i="1" s="1"/>
  <c r="I15" i="1" l="1"/>
  <c r="I35" i="1" s="1"/>
  <c r="E10" i="4"/>
  <c r="F10" i="4" l="1"/>
  <c r="G10" i="4" s="1"/>
  <c r="G12" i="4" s="1"/>
  <c r="I10" i="4"/>
  <c r="E24" i="4"/>
  <c r="F24" i="4" l="1"/>
  <c r="G24" i="4" s="1"/>
  <c r="G26" i="4" s="1"/>
  <c r="I24" i="4"/>
  <c r="G14" i="4"/>
  <c r="G13" i="4"/>
  <c r="G27" i="4" l="1"/>
  <c r="G28" i="4"/>
</calcChain>
</file>

<file path=xl/sharedStrings.xml><?xml version="1.0" encoding="utf-8"?>
<sst xmlns="http://schemas.openxmlformats.org/spreadsheetml/2006/main" count="178" uniqueCount="149">
  <si>
    <t>Balance Sheet</t>
  </si>
  <si>
    <t>Income Statement</t>
  </si>
  <si>
    <t>Start</t>
  </si>
  <si>
    <t>Assets</t>
  </si>
  <si>
    <t>Revenues</t>
  </si>
  <si>
    <t>Current Assets</t>
  </si>
  <si>
    <t>Cost of Goods Sold</t>
  </si>
  <si>
    <t>Cash</t>
  </si>
  <si>
    <t>Receivables</t>
  </si>
  <si>
    <t>Inventories</t>
  </si>
  <si>
    <t>Total Current Assets</t>
  </si>
  <si>
    <t>General &amp; Administrative</t>
  </si>
  <si>
    <t>Fixed Assets</t>
  </si>
  <si>
    <t>Depreciation</t>
  </si>
  <si>
    <t>PP&amp;E</t>
  </si>
  <si>
    <t>Less Depreciation</t>
  </si>
  <si>
    <t>Total Net Fixed Assets</t>
  </si>
  <si>
    <t>Net Interest Expense</t>
  </si>
  <si>
    <t>Taxable Income</t>
  </si>
  <si>
    <t>Total Assets</t>
  </si>
  <si>
    <t>Net Income</t>
  </si>
  <si>
    <t>Liabilities &amp; Shareholder's Equity</t>
  </si>
  <si>
    <t xml:space="preserve">Current Liabilities  </t>
  </si>
  <si>
    <t>Cash Flow Statement</t>
  </si>
  <si>
    <t>Accounts Payable</t>
  </si>
  <si>
    <t>Cash Provided (used) by Operations</t>
  </si>
  <si>
    <t>Total Current Liabilities</t>
  </si>
  <si>
    <t>Change in Working Capital</t>
  </si>
  <si>
    <t xml:space="preserve"> </t>
  </si>
  <si>
    <t>Total Liabilities</t>
  </si>
  <si>
    <t>Decrease (increase) in Receivables</t>
  </si>
  <si>
    <t>Decrease (increase) in Inventories</t>
  </si>
  <si>
    <t>Shareholder's Equity</t>
  </si>
  <si>
    <t>Increase (decrease) in  Accts. Payable</t>
  </si>
  <si>
    <t>Common Stock</t>
  </si>
  <si>
    <t>Total Shareholder's Equity</t>
  </si>
  <si>
    <t>Cash Provided (used) by Investments</t>
  </si>
  <si>
    <t>Additions to PP&amp;E</t>
  </si>
  <si>
    <t>Total Liabilities and Shareholder's Equity</t>
  </si>
  <si>
    <t>Other Investments</t>
  </si>
  <si>
    <t>Cash Provided (used) by Financing Activities</t>
  </si>
  <si>
    <t>Additions (reductions) to Debt</t>
  </si>
  <si>
    <t>Dividends</t>
  </si>
  <si>
    <t>Cash Provided (used) by Fin. Activities</t>
  </si>
  <si>
    <t>Net increase (decrease) in cash</t>
  </si>
  <si>
    <t xml:space="preserve">Tax Loss Carry Forward Used </t>
  </si>
  <si>
    <t xml:space="preserve">Tax Loss Carry Forward </t>
  </si>
  <si>
    <t>Adjusted Taxable Income</t>
  </si>
  <si>
    <t>Minimun Cash Requirement</t>
  </si>
  <si>
    <t>Accumulated Retained Earnings</t>
  </si>
  <si>
    <t>Wages Payable</t>
  </si>
  <si>
    <t>Increase (decrease) in  Wages Payable</t>
  </si>
  <si>
    <t>Plus Depreciation</t>
  </si>
  <si>
    <t>Financing to be Raised (repaid)</t>
  </si>
  <si>
    <t>Ending Cash Balance absent financing considerations</t>
  </si>
  <si>
    <t>Net Issues (repurchases) of Stock</t>
  </si>
  <si>
    <t>Ending Cash Balance after financing considerations</t>
  </si>
  <si>
    <t>Total Long-Term Liabilities</t>
  </si>
  <si>
    <t>Long-Term Liabilities</t>
  </si>
  <si>
    <t>Gross Profit</t>
  </si>
  <si>
    <t>Operating Revenues</t>
  </si>
  <si>
    <t>Total Revenues</t>
  </si>
  <si>
    <t>Total Cost of Goods Sold</t>
  </si>
  <si>
    <t>Operating Expenses</t>
  </si>
  <si>
    <t>Total Operating Expenses</t>
  </si>
  <si>
    <t>Operating Income (EBIT)</t>
  </si>
  <si>
    <t>Non-Operating Expenses</t>
  </si>
  <si>
    <t>Total Non-Operating Expenses</t>
  </si>
  <si>
    <t>Income Taxes Paid</t>
  </si>
  <si>
    <t>Assumtions</t>
  </si>
  <si>
    <t>Q1</t>
  </si>
  <si>
    <t>Q2</t>
  </si>
  <si>
    <t>Q3</t>
  </si>
  <si>
    <t>Q4</t>
  </si>
  <si>
    <t>Sum</t>
  </si>
  <si>
    <t>Angel investor</t>
  </si>
  <si>
    <t>Debt</t>
  </si>
  <si>
    <t>Start-up Expenses</t>
  </si>
  <si>
    <t>Computers, monitors etc.</t>
  </si>
  <si>
    <t>Firewall (per appliance)</t>
  </si>
  <si>
    <t>Salaries</t>
  </si>
  <si>
    <t>Marketing/Sales director</t>
  </si>
  <si>
    <t>CEO</t>
  </si>
  <si>
    <t>Benefits</t>
  </si>
  <si>
    <t>Cost of revenue</t>
  </si>
  <si>
    <t>Insurance Yearly</t>
  </si>
  <si>
    <t>Equiplent life in years</t>
  </si>
  <si>
    <t>*as percent of revenue</t>
  </si>
  <si>
    <t>Non operating expenses</t>
  </si>
  <si>
    <t>Intrest</t>
  </si>
  <si>
    <t>Tax rate</t>
  </si>
  <si>
    <t>Required return</t>
  </si>
  <si>
    <t>IRR</t>
  </si>
  <si>
    <r>
      <t>VALUE</t>
    </r>
    <r>
      <rPr>
        <b/>
        <vertAlign val="subscript"/>
        <sz val="11"/>
        <color theme="1"/>
        <rFont val="Calibri"/>
        <family val="2"/>
        <scheme val="minor"/>
      </rPr>
      <t>FCF</t>
    </r>
  </si>
  <si>
    <t>NPV Function</t>
  </si>
  <si>
    <r>
      <t>PV</t>
    </r>
    <r>
      <rPr>
        <b/>
        <vertAlign val="subscript"/>
        <sz val="11"/>
        <color theme="1"/>
        <rFont val="Calibri"/>
        <family val="2"/>
        <scheme val="minor"/>
      </rPr>
      <t>FCF</t>
    </r>
  </si>
  <si>
    <t>Based on Investor Required Rate of Return</t>
  </si>
  <si>
    <r>
      <t>∑ PV</t>
    </r>
    <r>
      <rPr>
        <b/>
        <vertAlign val="subscript"/>
        <sz val="11"/>
        <color theme="1"/>
        <rFont val="Calibri"/>
        <family val="2"/>
        <scheme val="minor"/>
      </rPr>
      <t>FCF</t>
    </r>
  </si>
  <si>
    <t>FCF</t>
  </si>
  <si>
    <t>Year</t>
  </si>
  <si>
    <t xml:space="preserve">Time </t>
  </si>
  <si>
    <t>Based on Cost of Borrowing (interest rate)</t>
  </si>
  <si>
    <t>using Debt as Cost of Investment</t>
  </si>
  <si>
    <t>Valuation</t>
  </si>
  <si>
    <t>User Quantity (forecast)</t>
  </si>
  <si>
    <t>EBIT</t>
  </si>
  <si>
    <t>D&amp;A</t>
  </si>
  <si>
    <t>OpEx w/o D&amp;A</t>
  </si>
  <si>
    <t>Gross Income</t>
  </si>
  <si>
    <t>Cost of Revenue</t>
  </si>
  <si>
    <t>Revenue</t>
  </si>
  <si>
    <t>Financials for Contactz LLC</t>
  </si>
  <si>
    <t>Capstone Project: Hannah Saethereng, Spring 2023</t>
  </si>
  <si>
    <t>Annual opex</t>
  </si>
  <si>
    <t>sqare foot per emploee</t>
  </si>
  <si>
    <t>office rent per sqare foot</t>
  </si>
  <si>
    <t>number of employees</t>
  </si>
  <si>
    <t>Rent yearly</t>
  </si>
  <si>
    <t>Other office inventory</t>
  </si>
  <si>
    <t>SBA Loan</t>
  </si>
  <si>
    <t>Usage</t>
  </si>
  <si>
    <t>CFO</t>
  </si>
  <si>
    <t>CTO</t>
  </si>
  <si>
    <t>Junior Software engineers (2)</t>
  </si>
  <si>
    <t>Senior Software engineer</t>
  </si>
  <si>
    <t xml:space="preserve">Daylie users </t>
  </si>
  <si>
    <t>Addition to accounts payable</t>
  </si>
  <si>
    <t>Addition to PP&amp;E</t>
  </si>
  <si>
    <t>Wages payable</t>
  </si>
  <si>
    <t>Free Cash Flow</t>
  </si>
  <si>
    <t>Dividends distribution</t>
  </si>
  <si>
    <t>using Required Return as Cost of Investment</t>
  </si>
  <si>
    <t>Depreciation Schedule</t>
  </si>
  <si>
    <t>Usefull Life</t>
  </si>
  <si>
    <t>Investment</t>
  </si>
  <si>
    <t>AI Cost:</t>
  </si>
  <si>
    <t>User growth (forcast)</t>
  </si>
  <si>
    <t>Year:</t>
  </si>
  <si>
    <t>ARPU increase per year</t>
  </si>
  <si>
    <t>Slack (monthly)</t>
  </si>
  <si>
    <t>*7 employees</t>
  </si>
  <si>
    <t>Marketing (quarterly)</t>
  </si>
  <si>
    <t>Firebase(per user monthly)</t>
  </si>
  <si>
    <t>Other assumptions</t>
  </si>
  <si>
    <t>Start and training cost</t>
  </si>
  <si>
    <t>New users</t>
  </si>
  <si>
    <t>Avg Revenue Per User</t>
  </si>
  <si>
    <t>*% of sales</t>
  </si>
  <si>
    <t>*tokens per year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</si>
</sst>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(* #,##0.0_);_(* \(#,##0.0\);_(* &quot;-&quot;??_);_(@_)"/>
    <numFmt numFmtId="167" formatCode="_(&quot;$&quot;* #,##0_);_(&quot;$&quot;* \(#,##0\);_(&quot;$&quot;* &quot;-&quot;??_);_(@_)"/>
    <numFmt numFmtId="168" formatCode="_(&quot;$&quot;* #,##0.00000_);_(&quot;$&quot;* \(#,##0.000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name val="Times New Roman"/>
      <family val="1"/>
    </font>
    <font>
      <u/>
      <sz val="10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u/>
      <sz val="10"/>
      <color theme="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i/>
      <sz val="14"/>
      <name val="Times New Roman"/>
      <family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DDF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41" fontId="10" fillId="0" borderId="0" xfId="3" applyNumberFormat="1" applyFont="1" applyFill="1" applyBorder="1"/>
    <xf numFmtId="164" fontId="8" fillId="0" borderId="0" xfId="1" applyNumberFormat="1" applyFont="1" applyFill="1" applyBorder="1"/>
    <xf numFmtId="41" fontId="7" fillId="0" borderId="0" xfId="3" applyNumberFormat="1" applyFont="1" applyFill="1" applyBorder="1"/>
    <xf numFmtId="165" fontId="7" fillId="0" borderId="0" xfId="3" applyNumberFormat="1" applyFont="1" applyFill="1" applyBorder="1"/>
    <xf numFmtId="0" fontId="11" fillId="0" borderId="0" xfId="0" applyFont="1"/>
    <xf numFmtId="164" fontId="0" fillId="0" borderId="0" xfId="1" applyNumberFormat="1" applyFont="1" applyFill="1" applyBorder="1"/>
    <xf numFmtId="164" fontId="11" fillId="0" borderId="0" xfId="1" applyNumberFormat="1" applyFont="1" applyFill="1" applyBorder="1"/>
    <xf numFmtId="0" fontId="12" fillId="0" borderId="0" xfId="0" applyFont="1"/>
    <xf numFmtId="0" fontId="13" fillId="0" borderId="0" xfId="0" applyFont="1"/>
    <xf numFmtId="41" fontId="9" fillId="0" borderId="0" xfId="3" applyNumberFormat="1" applyFont="1" applyFill="1" applyBorder="1"/>
    <xf numFmtId="41" fontId="11" fillId="0" borderId="0" xfId="3" applyNumberFormat="1" applyFont="1" applyFill="1" applyBorder="1"/>
    <xf numFmtId="0" fontId="14" fillId="0" borderId="0" xfId="0" applyFont="1"/>
    <xf numFmtId="166" fontId="9" fillId="0" borderId="0" xfId="1" applyNumberFormat="1" applyFont="1"/>
    <xf numFmtId="0" fontId="11" fillId="0" borderId="0" xfId="0" applyFont="1" applyAlignment="1">
      <alignment horizontal="center"/>
    </xf>
    <xf numFmtId="41" fontId="9" fillId="0" borderId="0" xfId="0" applyNumberFormat="1" applyFont="1"/>
    <xf numFmtId="164" fontId="9" fillId="0" borderId="0" xfId="0" applyNumberFormat="1" applyFont="1"/>
    <xf numFmtId="41" fontId="9" fillId="0" borderId="1" xfId="0" applyNumberFormat="1" applyFont="1" applyBorder="1"/>
    <xf numFmtId="41" fontId="9" fillId="0" borderId="2" xfId="0" applyNumberFormat="1" applyFont="1" applyBorder="1"/>
    <xf numFmtId="0" fontId="9" fillId="0" borderId="1" xfId="0" applyFont="1" applyBorder="1"/>
    <xf numFmtId="0" fontId="9" fillId="0" borderId="3" xfId="0" applyFont="1" applyBorder="1"/>
    <xf numFmtId="41" fontId="9" fillId="0" borderId="3" xfId="0" applyNumberFormat="1" applyFont="1" applyBorder="1"/>
    <xf numFmtId="41" fontId="9" fillId="0" borderId="1" xfId="3" applyNumberFormat="1" applyFont="1" applyFill="1" applyBorder="1"/>
    <xf numFmtId="0" fontId="15" fillId="0" borderId="0" xfId="0" applyFont="1"/>
    <xf numFmtId="164" fontId="16" fillId="0" borderId="0" xfId="1" applyNumberFormat="1" applyFont="1" applyFill="1" applyBorder="1"/>
    <xf numFmtId="9" fontId="16" fillId="0" borderId="0" xfId="3" applyFont="1" applyFill="1" applyBorder="1"/>
    <xf numFmtId="10" fontId="16" fillId="0" borderId="0" xfId="3" applyNumberFormat="1" applyFont="1" applyFill="1" applyBorder="1"/>
    <xf numFmtId="41" fontId="16" fillId="0" borderId="0" xfId="3" applyNumberFormat="1" applyFont="1" applyFill="1" applyBorder="1"/>
    <xf numFmtId="43" fontId="16" fillId="0" borderId="0" xfId="1" applyFont="1" applyFill="1" applyBorder="1"/>
    <xf numFmtId="0" fontId="17" fillId="0" borderId="0" xfId="0" applyFont="1"/>
    <xf numFmtId="10" fontId="0" fillId="0" borderId="0" xfId="3" applyNumberFormat="1" applyFont="1"/>
    <xf numFmtId="0" fontId="0" fillId="0" borderId="0" xfId="0" applyAlignment="1">
      <alignment wrapText="1"/>
    </xf>
    <xf numFmtId="44" fontId="0" fillId="0" borderId="0" xfId="2" applyFont="1"/>
    <xf numFmtId="164" fontId="0" fillId="0" borderId="0" xfId="1" applyNumberFormat="1" applyFont="1"/>
    <xf numFmtId="9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68" fontId="0" fillId="0" borderId="0" xfId="2" applyNumberFormat="1" applyFont="1"/>
    <xf numFmtId="167" fontId="18" fillId="0" borderId="0" xfId="2" applyNumberFormat="1" applyFont="1"/>
    <xf numFmtId="9" fontId="18" fillId="0" borderId="0" xfId="0" applyNumberFormat="1" applyFont="1"/>
    <xf numFmtId="10" fontId="18" fillId="0" borderId="0" xfId="3" applyNumberFormat="1" applyFont="1"/>
    <xf numFmtId="0" fontId="3" fillId="0" borderId="0" xfId="4"/>
    <xf numFmtId="0" fontId="20" fillId="2" borderId="0" xfId="4" applyFont="1" applyFill="1" applyAlignment="1">
      <alignment horizontal="right"/>
    </xf>
    <xf numFmtId="0" fontId="3" fillId="2" borderId="0" xfId="4" applyFill="1"/>
    <xf numFmtId="10" fontId="0" fillId="2" borderId="0" xfId="5" applyNumberFormat="1" applyFont="1" applyFill="1"/>
    <xf numFmtId="164" fontId="3" fillId="2" borderId="0" xfId="4" applyNumberFormat="1" applyFill="1"/>
    <xf numFmtId="164" fontId="0" fillId="2" borderId="0" xfId="6" applyNumberFormat="1" applyFont="1" applyFill="1"/>
    <xf numFmtId="0" fontId="20" fillId="2" borderId="0" xfId="4" applyFont="1" applyFill="1" applyAlignment="1">
      <alignment horizontal="right" vertical="center"/>
    </xf>
    <xf numFmtId="9" fontId="3" fillId="0" borderId="0" xfId="4" applyNumberFormat="1"/>
    <xf numFmtId="43" fontId="3" fillId="2" borderId="0" xfId="4" applyNumberFormat="1" applyFill="1"/>
    <xf numFmtId="8" fontId="3" fillId="2" borderId="0" xfId="4" applyNumberFormat="1" applyFill="1"/>
    <xf numFmtId="0" fontId="20" fillId="2" borderId="0" xfId="4" applyFont="1" applyFill="1" applyAlignment="1">
      <alignment horizontal="center" vertical="center" wrapText="1"/>
    </xf>
    <xf numFmtId="164" fontId="4" fillId="2" borderId="0" xfId="6" applyNumberFormat="1" applyFont="1" applyFill="1" applyAlignment="1">
      <alignment horizontal="right"/>
    </xf>
    <xf numFmtId="164" fontId="3" fillId="2" borderId="0" xfId="4" applyNumberFormat="1" applyFill="1" applyAlignment="1">
      <alignment horizontal="right"/>
    </xf>
    <xf numFmtId="0" fontId="20" fillId="2" borderId="0" xfId="4" applyFont="1" applyFill="1" applyAlignment="1">
      <alignment horizontal="center"/>
    </xf>
    <xf numFmtId="164" fontId="0" fillId="2" borderId="0" xfId="6" applyNumberFormat="1" applyFont="1" applyFill="1" applyAlignment="1">
      <alignment horizontal="right" vertical="center"/>
    </xf>
    <xf numFmtId="0" fontId="20" fillId="2" borderId="0" xfId="4" applyFont="1" applyFill="1" applyAlignment="1">
      <alignment horizontal="right" vertical="center" wrapText="1"/>
    </xf>
    <xf numFmtId="164" fontId="0" fillId="0" borderId="0" xfId="6" applyNumberFormat="1" applyFont="1"/>
    <xf numFmtId="0" fontId="20" fillId="0" borderId="0" xfId="4" applyFont="1" applyAlignment="1">
      <alignment horizontal="center"/>
    </xf>
    <xf numFmtId="0" fontId="20" fillId="3" borderId="0" xfId="4" applyFont="1" applyFill="1" applyAlignment="1">
      <alignment horizontal="right"/>
    </xf>
    <xf numFmtId="0" fontId="3" fillId="3" borderId="0" xfId="4" applyFill="1"/>
    <xf numFmtId="0" fontId="20" fillId="3" borderId="0" xfId="4" applyFont="1" applyFill="1" applyAlignment="1">
      <alignment vertical="center" textRotation="90"/>
    </xf>
    <xf numFmtId="10" fontId="0" fillId="3" borderId="0" xfId="5" applyNumberFormat="1" applyFont="1" applyFill="1"/>
    <xf numFmtId="164" fontId="3" fillId="3" borderId="0" xfId="4" applyNumberFormat="1" applyFill="1"/>
    <xf numFmtId="164" fontId="0" fillId="3" borderId="0" xfId="6" applyNumberFormat="1" applyFont="1" applyFill="1"/>
    <xf numFmtId="0" fontId="20" fillId="3" borderId="0" xfId="4" applyFont="1" applyFill="1" applyAlignment="1">
      <alignment horizontal="right" vertical="center"/>
    </xf>
    <xf numFmtId="43" fontId="3" fillId="0" borderId="0" xfId="4" applyNumberFormat="1"/>
    <xf numFmtId="43" fontId="3" fillId="3" borderId="0" xfId="4" applyNumberFormat="1" applyFill="1"/>
    <xf numFmtId="8" fontId="3" fillId="3" borderId="0" xfId="4" applyNumberFormat="1" applyFill="1"/>
    <xf numFmtId="0" fontId="20" fillId="3" borderId="0" xfId="4" applyFont="1" applyFill="1" applyAlignment="1">
      <alignment horizontal="center" vertical="center" wrapText="1"/>
    </xf>
    <xf numFmtId="44" fontId="0" fillId="0" borderId="0" xfId="7" applyFont="1"/>
    <xf numFmtId="164" fontId="4" fillId="3" borderId="0" xfId="6" applyNumberFormat="1" applyFont="1" applyFill="1" applyAlignment="1">
      <alignment horizontal="right"/>
    </xf>
    <xf numFmtId="164" fontId="3" fillId="3" borderId="0" xfId="4" applyNumberFormat="1" applyFill="1" applyAlignment="1">
      <alignment horizontal="right"/>
    </xf>
    <xf numFmtId="0" fontId="20" fillId="3" borderId="0" xfId="4" applyFont="1" applyFill="1" applyAlignment="1">
      <alignment horizontal="center"/>
    </xf>
    <xf numFmtId="164" fontId="0" fillId="3" borderId="0" xfId="6" applyNumberFormat="1" applyFont="1" applyFill="1" applyAlignment="1">
      <alignment horizontal="right" vertical="center"/>
    </xf>
    <xf numFmtId="0" fontId="20" fillId="3" borderId="0" xfId="4" applyFont="1" applyFill="1" applyAlignment="1">
      <alignment horizontal="right" vertical="center" wrapText="1"/>
    </xf>
    <xf numFmtId="0" fontId="20" fillId="0" borderId="0" xfId="4" applyFont="1"/>
    <xf numFmtId="164" fontId="18" fillId="0" borderId="0" xfId="6" applyNumberFormat="1" applyFont="1" applyFill="1"/>
    <xf numFmtId="164" fontId="0" fillId="4" borderId="0" xfId="6" applyNumberFormat="1" applyFont="1" applyFill="1"/>
    <xf numFmtId="164" fontId="3" fillId="0" borderId="0" xfId="4" applyNumberFormat="1"/>
    <xf numFmtId="164" fontId="0" fillId="0" borderId="0" xfId="6" applyNumberFormat="1" applyFont="1" applyFill="1" applyBorder="1"/>
    <xf numFmtId="164" fontId="0" fillId="4" borderId="0" xfId="6" applyNumberFormat="1" applyFont="1" applyFill="1" applyBorder="1"/>
    <xf numFmtId="164" fontId="0" fillId="0" borderId="1" xfId="6" applyNumberFormat="1" applyFont="1" applyFill="1" applyBorder="1"/>
    <xf numFmtId="164" fontId="0" fillId="4" borderId="1" xfId="6" applyNumberFormat="1" applyFont="1" applyFill="1" applyBorder="1"/>
    <xf numFmtId="0" fontId="20" fillId="4" borderId="0" xfId="4" applyFont="1" applyFill="1" applyAlignment="1">
      <alignment horizontal="center"/>
    </xf>
    <xf numFmtId="44" fontId="3" fillId="0" borderId="0" xfId="4" applyNumberFormat="1"/>
    <xf numFmtId="0" fontId="22" fillId="0" borderId="0" xfId="0" applyFont="1" applyAlignment="1">
      <alignment horizontal="center"/>
    </xf>
    <xf numFmtId="41" fontId="17" fillId="0" borderId="0" xfId="0" applyNumberFormat="1" applyFont="1"/>
    <xf numFmtId="0" fontId="22" fillId="0" borderId="0" xfId="0" applyFont="1"/>
    <xf numFmtId="9" fontId="22" fillId="0" borderId="0" xfId="3" applyFont="1" applyFill="1" applyBorder="1"/>
    <xf numFmtId="3" fontId="0" fillId="0" borderId="0" xfId="0" applyNumberFormat="1"/>
    <xf numFmtId="43" fontId="0" fillId="0" borderId="0" xfId="0" applyNumberFormat="1"/>
    <xf numFmtId="0" fontId="0" fillId="0" borderId="8" xfId="0" applyBorder="1"/>
    <xf numFmtId="43" fontId="0" fillId="0" borderId="7" xfId="0" applyNumberFormat="1" applyBorder="1"/>
    <xf numFmtId="0" fontId="0" fillId="0" borderId="9" xfId="0" applyBorder="1"/>
    <xf numFmtId="0" fontId="2" fillId="0" borderId="0" xfId="4" applyFont="1"/>
    <xf numFmtId="9" fontId="2" fillId="0" borderId="0" xfId="4" applyNumberFormat="1" applyFont="1"/>
    <xf numFmtId="10" fontId="2" fillId="0" borderId="0" xfId="5" applyNumberFormat="1" applyFont="1"/>
    <xf numFmtId="167" fontId="2" fillId="0" borderId="0" xfId="7" applyNumberFormat="1" applyFont="1"/>
    <xf numFmtId="44" fontId="2" fillId="0" borderId="0" xfId="2" applyFont="1"/>
    <xf numFmtId="167" fontId="2" fillId="0" borderId="0" xfId="2" applyNumberFormat="1" applyFont="1"/>
    <xf numFmtId="167" fontId="3" fillId="0" borderId="0" xfId="2" applyNumberFormat="1" applyFont="1"/>
    <xf numFmtId="0" fontId="20" fillId="0" borderId="0" xfId="4" applyFont="1" applyAlignment="1">
      <alignment horizontal="right" vertical="center" wrapText="1"/>
    </xf>
    <xf numFmtId="164" fontId="4" fillId="0" borderId="0" xfId="6" applyNumberFormat="1" applyFont="1" applyFill="1"/>
    <xf numFmtId="164" fontId="0" fillId="0" borderId="0" xfId="6" applyNumberFormat="1" applyFont="1" applyFill="1" applyAlignment="1">
      <alignment horizontal="right" vertical="center" wrapText="1"/>
    </xf>
    <xf numFmtId="164" fontId="4" fillId="0" borderId="0" xfId="6" applyNumberFormat="1" applyFont="1" applyFill="1" applyAlignment="1">
      <alignment horizontal="right"/>
    </xf>
    <xf numFmtId="164" fontId="0" fillId="0" borderId="0" xfId="6" applyNumberFormat="1" applyFont="1" applyFill="1"/>
    <xf numFmtId="43" fontId="4" fillId="0" borderId="0" xfId="6" applyFont="1" applyFill="1"/>
    <xf numFmtId="0" fontId="20" fillId="0" borderId="0" xfId="4" applyFont="1" applyAlignment="1">
      <alignment horizontal="right" vertical="center"/>
    </xf>
    <xf numFmtId="0" fontId="20" fillId="0" borderId="0" xfId="4" applyFont="1" applyAlignment="1">
      <alignment horizontal="right"/>
    </xf>
    <xf numFmtId="10" fontId="3" fillId="0" borderId="0" xfId="4" applyNumberFormat="1"/>
    <xf numFmtId="0" fontId="20" fillId="3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43" fontId="0" fillId="0" borderId="5" xfId="0" applyNumberFormat="1" applyBorder="1"/>
    <xf numFmtId="43" fontId="0" fillId="0" borderId="6" xfId="0" applyNumberFormat="1" applyBorder="1"/>
    <xf numFmtId="0" fontId="20" fillId="0" borderId="5" xfId="0" applyFont="1" applyBorder="1" applyAlignment="1">
      <alignment horizontal="left"/>
    </xf>
    <xf numFmtId="0" fontId="20" fillId="0" borderId="0" xfId="0" applyFont="1" applyAlignment="1">
      <alignment horizontal="center"/>
    </xf>
    <xf numFmtId="41" fontId="0" fillId="0" borderId="0" xfId="0" applyNumberFormat="1"/>
    <xf numFmtId="0" fontId="19" fillId="0" borderId="0" xfId="0" applyFont="1"/>
    <xf numFmtId="0" fontId="18" fillId="0" borderId="0" xfId="4" applyFont="1" applyAlignment="1">
      <alignment wrapText="1"/>
    </xf>
    <xf numFmtId="164" fontId="17" fillId="0" borderId="0" xfId="6" applyNumberFormat="1" applyFont="1"/>
    <xf numFmtId="41" fontId="7" fillId="0" borderId="0" xfId="0" applyNumberFormat="1" applyFont="1"/>
    <xf numFmtId="10" fontId="11" fillId="0" borderId="0" xfId="0" applyNumberFormat="1" applyFont="1"/>
    <xf numFmtId="164" fontId="0" fillId="0" borderId="1" xfId="0" applyNumberFormat="1" applyBorder="1"/>
    <xf numFmtId="167" fontId="4" fillId="0" borderId="0" xfId="7" applyNumberFormat="1" applyFont="1"/>
    <xf numFmtId="167" fontId="2" fillId="0" borderId="0" xfId="4" applyNumberFormat="1" applyFont="1"/>
    <xf numFmtId="44" fontId="4" fillId="0" borderId="0" xfId="7" applyFont="1"/>
    <xf numFmtId="168" fontId="4" fillId="0" borderId="0" xfId="7" applyNumberFormat="1" applyFont="1"/>
    <xf numFmtId="43" fontId="2" fillId="0" borderId="0" xfId="4" applyNumberFormat="1" applyFont="1"/>
    <xf numFmtId="164" fontId="2" fillId="0" borderId="0" xfId="1" applyNumberFormat="1" applyFont="1"/>
    <xf numFmtId="44" fontId="2" fillId="0" borderId="0" xfId="4" applyNumberFormat="1" applyFont="1"/>
    <xf numFmtId="10" fontId="4" fillId="0" borderId="0" xfId="5" applyNumberFormat="1" applyFont="1"/>
    <xf numFmtId="164" fontId="17" fillId="0" borderId="0" xfId="6" applyNumberFormat="1" applyFont="1" applyFill="1" applyBorder="1"/>
    <xf numFmtId="0" fontId="23" fillId="0" borderId="0" xfId="4" applyFont="1"/>
    <xf numFmtId="0" fontId="20" fillId="0" borderId="0" xfId="4" applyFont="1" applyAlignment="1">
      <alignment horizontal="center" vertical="center" wrapText="1"/>
    </xf>
    <xf numFmtId="0" fontId="20" fillId="0" borderId="0" xfId="4" applyFont="1" applyAlignment="1">
      <alignment vertical="center" textRotation="90" wrapText="1"/>
    </xf>
    <xf numFmtId="164" fontId="0" fillId="0" borderId="0" xfId="6" applyNumberFormat="1" applyFont="1" applyFill="1" applyBorder="1" applyAlignment="1">
      <alignment horizontal="right" vertical="center"/>
    </xf>
    <xf numFmtId="164" fontId="4" fillId="0" borderId="0" xfId="6" applyNumberFormat="1" applyFont="1" applyFill="1" applyBorder="1"/>
    <xf numFmtId="164" fontId="0" fillId="0" borderId="0" xfId="6" applyNumberFormat="1" applyFont="1" applyFill="1" applyBorder="1" applyAlignment="1">
      <alignment horizontal="right" vertical="center" wrapText="1"/>
    </xf>
    <xf numFmtId="164" fontId="4" fillId="0" borderId="0" xfId="6" applyNumberFormat="1" applyFont="1" applyFill="1" applyBorder="1" applyAlignment="1">
      <alignment horizontal="right"/>
    </xf>
    <xf numFmtId="164" fontId="3" fillId="0" borderId="0" xfId="4" applyNumberFormat="1" applyAlignment="1">
      <alignment horizontal="right"/>
    </xf>
    <xf numFmtId="0" fontId="17" fillId="0" borderId="0" xfId="4" applyFont="1"/>
    <xf numFmtId="8" fontId="3" fillId="0" borderId="0" xfId="4" applyNumberFormat="1"/>
    <xf numFmtId="43" fontId="4" fillId="0" borderId="0" xfId="6" applyFont="1" applyFill="1" applyBorder="1"/>
    <xf numFmtId="0" fontId="22" fillId="0" borderId="0" xfId="4" applyFont="1" applyAlignment="1">
      <alignment horizontal="right"/>
    </xf>
    <xf numFmtId="164" fontId="18" fillId="0" borderId="0" xfId="6" applyNumberFormat="1" applyFont="1" applyFill="1" applyBorder="1"/>
    <xf numFmtId="10" fontId="0" fillId="0" borderId="0" xfId="5" applyNumberFormat="1" applyFont="1" applyFill="1" applyBorder="1"/>
    <xf numFmtId="0" fontId="20" fillId="0" borderId="0" xfId="4" applyFont="1" applyAlignment="1">
      <alignment vertical="center" textRotation="90"/>
    </xf>
    <xf numFmtId="0" fontId="19" fillId="0" borderId="4" xfId="4" applyFont="1" applyBorder="1" applyAlignment="1">
      <alignment horizontal="center"/>
    </xf>
    <xf numFmtId="0" fontId="19" fillId="0" borderId="5" xfId="4" applyFont="1" applyBorder="1" applyAlignment="1">
      <alignment horizontal="center"/>
    </xf>
    <xf numFmtId="0" fontId="19" fillId="0" borderId="6" xfId="4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3" borderId="0" xfId="4" applyFont="1" applyFill="1" applyAlignment="1">
      <alignment horizontal="center" vertical="center" textRotation="90" wrapText="1"/>
    </xf>
    <xf numFmtId="0" fontId="20" fillId="2" borderId="0" xfId="4" applyFont="1" applyFill="1" applyAlignment="1">
      <alignment horizontal="center" vertical="center" textRotation="90" wrapText="1"/>
    </xf>
    <xf numFmtId="0" fontId="23" fillId="0" borderId="0" xfId="4" applyFont="1" applyAlignment="1">
      <alignment horizontal="center"/>
    </xf>
    <xf numFmtId="0" fontId="20" fillId="0" borderId="4" xfId="4" applyFont="1" applyBorder="1" applyAlignment="1">
      <alignment horizontal="center"/>
    </xf>
    <xf numFmtId="0" fontId="20" fillId="0" borderId="5" xfId="4" applyFont="1" applyBorder="1" applyAlignment="1">
      <alignment horizontal="center"/>
    </xf>
    <xf numFmtId="0" fontId="20" fillId="0" borderId="6" xfId="4" applyFont="1" applyBorder="1" applyAlignment="1">
      <alignment horizontal="center"/>
    </xf>
    <xf numFmtId="0" fontId="1" fillId="0" borderId="0" xfId="4" applyFont="1"/>
    <xf numFmtId="0" fontId="19" fillId="0" borderId="0" xfId="4" applyFont="1"/>
    <xf numFmtId="0" fontId="19" fillId="0" borderId="0" xfId="4" applyFont="1" applyAlignment="1">
      <alignment horizontal="right"/>
    </xf>
    <xf numFmtId="0" fontId="19" fillId="0" borderId="0" xfId="4" applyFont="1" applyAlignment="1">
      <alignment horizontal="center" wrapText="1"/>
    </xf>
    <xf numFmtId="0" fontId="24" fillId="0" borderId="0" xfId="4" applyFont="1"/>
  </cellXfs>
  <cellStyles count="8">
    <cellStyle name="Comma" xfId="1" builtinId="3"/>
    <cellStyle name="Comma 2" xfId="6" xr:uid="{DB58E098-F669-5948-AFD3-384C3966398C}"/>
    <cellStyle name="Currency" xfId="2" builtinId="4"/>
    <cellStyle name="Currency 2" xfId="7" xr:uid="{FFB75D4B-4852-5040-8116-494F6A1106FF}"/>
    <cellStyle name="Normal" xfId="0" builtinId="0"/>
    <cellStyle name="Normal 2" xfId="4" xr:uid="{731DD179-B03E-3E4F-A8EF-3A4F6F4931E3}"/>
    <cellStyle name="Percent" xfId="3" builtinId="5"/>
    <cellStyle name="Percent 2" xfId="5" xr:uid="{132FA02F-E8BD-A04E-B903-50F115170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354D-6F79-F948-8F40-B243F66D481F}">
  <dimension ref="A1:AT64"/>
  <sheetViews>
    <sheetView tabSelected="1" zoomScale="125" zoomScaleNormal="100" workbookViewId="0">
      <selection activeCell="J17" sqref="J17"/>
    </sheetView>
  </sheetViews>
  <sheetFormatPr baseColWidth="10" defaultColWidth="10.83203125" defaultRowHeight="16" x14ac:dyDescent="0.2"/>
  <cols>
    <col min="1" max="1" width="4.6640625" style="45" customWidth="1"/>
    <col min="2" max="2" width="12.6640625" style="45" customWidth="1"/>
    <col min="3" max="3" width="12.83203125" style="45" customWidth="1"/>
    <col min="4" max="4" width="15.1640625" style="45" customWidth="1"/>
    <col min="5" max="5" width="12.6640625" style="45" bestFit="1" customWidth="1"/>
    <col min="6" max="6" width="13.1640625" style="45" customWidth="1"/>
    <col min="7" max="9" width="10.83203125" style="45"/>
    <col min="10" max="10" width="14" style="45" bestFit="1" customWidth="1"/>
    <col min="11" max="12" width="10.83203125" style="45"/>
    <col min="13" max="15" width="11" style="45" bestFit="1" customWidth="1"/>
    <col min="16" max="16" width="13.6640625" style="45" customWidth="1"/>
    <col min="17" max="17" width="12.1640625" style="45" customWidth="1"/>
    <col min="18" max="18" width="11" style="45" bestFit="1" customWidth="1"/>
    <col min="19" max="19" width="11.5" style="45" bestFit="1" customWidth="1"/>
    <col min="20" max="21" width="12.1640625" style="45" bestFit="1" customWidth="1"/>
    <col min="22" max="24" width="10.83203125" style="45"/>
    <col min="25" max="30" width="11" style="45" bestFit="1" customWidth="1"/>
    <col min="31" max="33" width="12.5" style="45" customWidth="1"/>
    <col min="34" max="40" width="10.83203125" style="45"/>
    <col min="41" max="41" width="11.83203125" style="45" customWidth="1"/>
    <col min="42" max="42" width="10.83203125" style="45"/>
    <col min="43" max="45" width="13.33203125" style="45" customWidth="1"/>
    <col min="46" max="16384" width="10.83203125" style="45"/>
  </cols>
  <sheetData>
    <row r="1" spans="1:45" ht="19" x14ac:dyDescent="0.25">
      <c r="A1" s="170" t="s">
        <v>112</v>
      </c>
    </row>
    <row r="2" spans="1:45" ht="19" x14ac:dyDescent="0.25">
      <c r="A2" s="170" t="s">
        <v>111</v>
      </c>
    </row>
    <row r="4" spans="1:45" x14ac:dyDescent="0.2">
      <c r="A4" s="154" t="s">
        <v>69</v>
      </c>
      <c r="B4" s="155"/>
      <c r="C4" s="155"/>
      <c r="D4" s="155"/>
      <c r="E4" s="155"/>
      <c r="F4" s="156"/>
      <c r="H4" s="80"/>
      <c r="I4" s="80"/>
      <c r="J4" s="80"/>
      <c r="K4" s="80"/>
      <c r="L4" s="80"/>
      <c r="M4" s="80"/>
      <c r="N4" s="80"/>
      <c r="O4" s="80"/>
      <c r="P4" s="80"/>
      <c r="Q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J4" s="80"/>
      <c r="AK4" s="80"/>
      <c r="AL4" s="80"/>
      <c r="AM4" s="80"/>
      <c r="AN4" s="80"/>
      <c r="AO4" s="80"/>
      <c r="AP4" s="80"/>
      <c r="AQ4" s="80"/>
      <c r="AR4" s="80"/>
      <c r="AS4" s="80"/>
    </row>
    <row r="5" spans="1:45" ht="34" x14ac:dyDescent="0.2">
      <c r="B5" s="169" t="s">
        <v>146</v>
      </c>
      <c r="C5" s="169" t="s">
        <v>145</v>
      </c>
      <c r="D5" s="125"/>
      <c r="E5" s="125"/>
      <c r="J5" s="88" t="s">
        <v>70</v>
      </c>
      <c r="K5" s="88" t="s">
        <v>71</v>
      </c>
      <c r="L5" s="88" t="s">
        <v>72</v>
      </c>
      <c r="M5" s="88" t="s">
        <v>73</v>
      </c>
      <c r="N5" s="62">
        <v>1</v>
      </c>
      <c r="O5" s="62">
        <v>2</v>
      </c>
      <c r="P5" s="62">
        <v>3</v>
      </c>
      <c r="Q5" s="62">
        <v>4</v>
      </c>
      <c r="Z5" s="62"/>
      <c r="AA5" s="62"/>
      <c r="AB5" s="62"/>
      <c r="AC5" s="62"/>
      <c r="AD5" s="62"/>
      <c r="AE5" s="62"/>
      <c r="AF5" s="62"/>
      <c r="AG5" s="62"/>
      <c r="AL5" s="62"/>
      <c r="AM5" s="62"/>
      <c r="AN5" s="62"/>
      <c r="AO5" s="62"/>
      <c r="AP5" s="62"/>
      <c r="AQ5" s="62"/>
      <c r="AR5" s="62"/>
      <c r="AS5" s="62"/>
    </row>
    <row r="6" spans="1:45" x14ac:dyDescent="0.2">
      <c r="A6" s="167" t="s">
        <v>72</v>
      </c>
      <c r="B6" s="74">
        <f>$B$8/4</f>
        <v>3.75</v>
      </c>
      <c r="C6" s="61">
        <v>30000</v>
      </c>
      <c r="D6" s="126"/>
      <c r="E6" s="126"/>
      <c r="H6" s="80" t="s">
        <v>110</v>
      </c>
      <c r="I6" s="80"/>
      <c r="J6" s="85">
        <v>0</v>
      </c>
      <c r="K6" s="85">
        <v>0</v>
      </c>
      <c r="L6" s="85">
        <f>$B$6*$L$13</f>
        <v>112500</v>
      </c>
      <c r="M6" s="85">
        <f>$B$7*M13</f>
        <v>375000</v>
      </c>
      <c r="N6" s="84">
        <f>SUM(J6:M6)</f>
        <v>487500</v>
      </c>
      <c r="O6" s="84">
        <f>O13*($B$8*(1+$D$56))</f>
        <v>4725000</v>
      </c>
      <c r="P6" s="84">
        <f>P13*($B$8*(1+$D$56)^2)</f>
        <v>9922500</v>
      </c>
      <c r="Q6" s="84">
        <f>Q13*($B$8*(1+$D$56)^3)</f>
        <v>15627937.500000002</v>
      </c>
      <c r="X6" s="80"/>
      <c r="Y6" s="80"/>
      <c r="Z6" s="84"/>
      <c r="AA6" s="84"/>
      <c r="AB6" s="84"/>
      <c r="AC6" s="84"/>
      <c r="AD6" s="84"/>
      <c r="AE6" s="84"/>
      <c r="AF6" s="84"/>
      <c r="AG6" s="84"/>
      <c r="AJ6" s="80"/>
      <c r="AK6" s="80"/>
      <c r="AL6" s="84"/>
      <c r="AM6" s="84"/>
      <c r="AN6" s="84"/>
      <c r="AO6" s="84"/>
      <c r="AP6" s="84"/>
      <c r="AQ6" s="84"/>
      <c r="AR6" s="84"/>
      <c r="AS6" s="84"/>
    </row>
    <row r="7" spans="1:45" x14ac:dyDescent="0.2">
      <c r="A7" s="167" t="s">
        <v>73</v>
      </c>
      <c r="B7" s="74">
        <f>$B$8/4</f>
        <v>3.75</v>
      </c>
      <c r="C7" s="61">
        <v>70000</v>
      </c>
      <c r="D7" s="126"/>
      <c r="E7" s="126"/>
      <c r="H7" s="80" t="s">
        <v>109</v>
      </c>
      <c r="I7" s="80"/>
      <c r="J7" s="87">
        <f t="shared" ref="J7:K7" si="0">IF(J13&gt;50000,-J13*$D$32,0)-(($D$35*$E$35/4)*($D$36*J13))</f>
        <v>0</v>
      </c>
      <c r="K7" s="87">
        <f t="shared" si="0"/>
        <v>0</v>
      </c>
      <c r="L7" s="87">
        <f>IF(L13&gt;50000,-L13*$D$32,0)-(($D$35*$E$35/4)*($D$36*L13))</f>
        <v>-26280</v>
      </c>
      <c r="M7" s="87">
        <f>IF(M13&gt;50000,-M13*$D$32,0)-(($D$35*$E$35/4)*($D$36*M13))</f>
        <v>-87650</v>
      </c>
      <c r="N7" s="86">
        <f>SUM(L7:M7)</f>
        <v>-113930</v>
      </c>
      <c r="O7" s="86">
        <f>-IF(O13&gt;50000,O13*$D$32,0)-(($D$35*$E$35)*($D$36*O13))</f>
        <v>-1051350</v>
      </c>
      <c r="P7" s="86">
        <f>-IF(P13&gt;50000,P13*$D$32,0)-(($D$35*$E$35)*($D$36*P13))</f>
        <v>-2102700</v>
      </c>
      <c r="Q7" s="86">
        <f>-IF(Q13&gt;50000,Q13*$D$32,0)-(($D$35*$E$35)*($D$36*Q13))</f>
        <v>-3154050</v>
      </c>
      <c r="X7" s="80"/>
      <c r="Y7" s="80"/>
      <c r="Z7" s="84"/>
      <c r="AA7" s="84"/>
      <c r="AB7" s="84"/>
      <c r="AC7" s="84"/>
      <c r="AD7" s="84"/>
      <c r="AE7" s="84"/>
      <c r="AF7" s="84"/>
      <c r="AG7" s="84"/>
      <c r="AJ7" s="80"/>
      <c r="AK7" s="80"/>
      <c r="AL7" s="84"/>
      <c r="AM7" s="84"/>
      <c r="AN7" s="84"/>
      <c r="AO7" s="84"/>
      <c r="AP7" s="84"/>
      <c r="AQ7" s="84"/>
      <c r="AR7" s="84"/>
      <c r="AS7" s="84"/>
    </row>
    <row r="8" spans="1:45" x14ac:dyDescent="0.2">
      <c r="A8" s="167" t="s">
        <v>74</v>
      </c>
      <c r="B8" s="89">
        <v>15</v>
      </c>
      <c r="C8" s="61">
        <f>SUM(C6:C7)</f>
        <v>100000</v>
      </c>
      <c r="D8" s="126"/>
      <c r="E8" s="126"/>
      <c r="H8" s="80" t="s">
        <v>108</v>
      </c>
      <c r="I8" s="80"/>
      <c r="J8" s="85">
        <f>SUM(J6:J7)</f>
        <v>0</v>
      </c>
      <c r="K8" s="85">
        <f>SUM(K6:K7)</f>
        <v>0</v>
      </c>
      <c r="L8" s="85">
        <f>SUM(L6:L7)</f>
        <v>86220</v>
      </c>
      <c r="M8" s="85">
        <f>SUM(M6:M7)</f>
        <v>287350</v>
      </c>
      <c r="N8" s="84">
        <f>SUM(J8:M8)</f>
        <v>373570</v>
      </c>
      <c r="O8" s="84">
        <f>SUM(O6:O7)</f>
        <v>3673650</v>
      </c>
      <c r="P8" s="84">
        <f>SUM(P6:P7)</f>
        <v>7819800</v>
      </c>
      <c r="Q8" s="84">
        <f>SUM(Q6:Q7)</f>
        <v>12473887.500000002</v>
      </c>
      <c r="X8" s="80"/>
      <c r="Y8" s="80"/>
      <c r="Z8" s="84"/>
      <c r="AA8" s="84"/>
      <c r="AB8" s="84"/>
      <c r="AC8" s="84"/>
      <c r="AD8" s="84"/>
      <c r="AE8" s="84"/>
      <c r="AF8" s="84"/>
      <c r="AG8" s="84"/>
      <c r="AJ8" s="80"/>
      <c r="AK8" s="80"/>
      <c r="AL8" s="84"/>
      <c r="AM8" s="84"/>
      <c r="AN8" s="84"/>
      <c r="AO8" s="84"/>
      <c r="AP8" s="84"/>
      <c r="AQ8" s="84"/>
      <c r="AR8" s="84"/>
      <c r="AS8" s="84"/>
    </row>
    <row r="9" spans="1:45" x14ac:dyDescent="0.2">
      <c r="H9" s="80" t="s">
        <v>107</v>
      </c>
      <c r="I9" s="80"/>
      <c r="J9" s="85">
        <f>-($D$38+$D$39/4+SUM($D$18:$D$23)/4 +SUM($D$25:$D$30)/4+D34+D16*D45+D46/4+D40*3)</f>
        <v>-231567</v>
      </c>
      <c r="K9" s="85">
        <f>-($D$38+$D$39/4+$D$40*3+SUM($D$18:$D$23)/4 +SUM($D$25:$D$30)/4+$D$46/4)</f>
        <v>-222314</v>
      </c>
      <c r="L9" s="85">
        <f>-($D$38+$D$39/4+$D$40*3+SUM($D$18:$D$23)/4 +SUM($D$25:$D$30)/4+$D$46/4)</f>
        <v>-222314</v>
      </c>
      <c r="M9" s="85">
        <f>-($D$38+$D$39/4+$D$40*3+SUM($D$18:$D$23)/4 +SUM($D$25:$D$30)/4+$D$46/4)</f>
        <v>-222314</v>
      </c>
      <c r="N9" s="84">
        <f>SUM(J9:M9)</f>
        <v>-898509</v>
      </c>
      <c r="O9" s="84">
        <f>-O6*$D$42</f>
        <v>-2835000</v>
      </c>
      <c r="P9" s="84">
        <f>-P6*$D$42</f>
        <v>-5953500</v>
      </c>
      <c r="Q9" s="84">
        <f>-Q6*$D$42</f>
        <v>-9376762.5</v>
      </c>
      <c r="V9" s="70"/>
      <c r="X9" s="80"/>
      <c r="Y9" s="80"/>
      <c r="Z9" s="84"/>
      <c r="AA9" s="84"/>
      <c r="AB9" s="84"/>
      <c r="AC9" s="84"/>
      <c r="AD9" s="84"/>
      <c r="AE9" s="84"/>
      <c r="AF9" s="84"/>
      <c r="AG9" s="84"/>
      <c r="AJ9" s="80"/>
      <c r="AK9" s="80"/>
      <c r="AL9" s="84"/>
      <c r="AM9" s="84"/>
      <c r="AN9" s="84"/>
      <c r="AO9" s="84"/>
      <c r="AP9" s="84"/>
      <c r="AQ9" s="84"/>
      <c r="AR9" s="84"/>
      <c r="AS9" s="84"/>
    </row>
    <row r="10" spans="1:45" x14ac:dyDescent="0.2">
      <c r="B10" s="167"/>
      <c r="C10" s="167"/>
      <c r="D10" s="52"/>
      <c r="H10" s="80" t="s">
        <v>106</v>
      </c>
      <c r="I10" s="80"/>
      <c r="J10" s="87">
        <f>-(($D$14+$D$15)/$D$41/4)</f>
        <v>-1740.625</v>
      </c>
      <c r="K10" s="87">
        <f>-(($D$14+$D$15)/$D$41/4)</f>
        <v>-1740.625</v>
      </c>
      <c r="L10" s="87">
        <f>-(($D$14+$D$15)/$D$41/4)</f>
        <v>-1740.625</v>
      </c>
      <c r="M10" s="87">
        <f>-(($D$14+$D$15)/$D$41/4)</f>
        <v>-1740.625</v>
      </c>
      <c r="N10" s="86">
        <f>-'Financial Statements'!F44</f>
        <v>-6962.5</v>
      </c>
      <c r="O10" s="86">
        <f>-'Financial Statements'!G44</f>
        <v>-31962.5</v>
      </c>
      <c r="P10" s="86">
        <f>-'Financial Statements'!H44</f>
        <v>-81962.5</v>
      </c>
      <c r="Q10" s="86">
        <f>-'Financial Statements'!I44</f>
        <v>-156962.5</v>
      </c>
      <c r="X10" s="80"/>
      <c r="Y10" s="80"/>
      <c r="Z10" s="84"/>
      <c r="AA10" s="84"/>
      <c r="AB10" s="84"/>
      <c r="AC10" s="84"/>
      <c r="AD10" s="84"/>
      <c r="AE10" s="84"/>
      <c r="AF10" s="84"/>
      <c r="AG10" s="84"/>
      <c r="AJ10" s="80"/>
      <c r="AK10" s="80"/>
      <c r="AL10" s="84"/>
      <c r="AM10" s="84"/>
      <c r="AN10" s="84"/>
      <c r="AO10" s="84"/>
      <c r="AP10" s="84"/>
      <c r="AQ10" s="84"/>
      <c r="AR10" s="84"/>
      <c r="AS10" s="84"/>
    </row>
    <row r="11" spans="1:45" x14ac:dyDescent="0.2">
      <c r="B11" s="167" t="s">
        <v>75</v>
      </c>
      <c r="C11" s="167"/>
      <c r="D11" s="130">
        <v>200000</v>
      </c>
      <c r="E11" s="99"/>
      <c r="F11" s="99"/>
      <c r="H11" s="80" t="s">
        <v>105</v>
      </c>
      <c r="I11" s="80"/>
      <c r="J11" s="85">
        <f>SUM(J8:J10)</f>
        <v>-233307.625</v>
      </c>
      <c r="K11" s="85">
        <f>SUM(K8:K10)</f>
        <v>-224054.625</v>
      </c>
      <c r="L11" s="85">
        <f>SUM(L8:L10)</f>
        <v>-137834.625</v>
      </c>
      <c r="M11" s="85">
        <f>SUM(M8:M10)</f>
        <v>63295.375</v>
      </c>
      <c r="N11" s="84">
        <f>SUM(J11:M11)</f>
        <v>-531901.5</v>
      </c>
      <c r="O11" s="84">
        <f>SUM(O8:O10)</f>
        <v>806687.5</v>
      </c>
      <c r="P11" s="84">
        <f>SUM(P8:P10)</f>
        <v>1784337.5</v>
      </c>
      <c r="Q11" s="84">
        <f>SUM(Q8:Q10)</f>
        <v>2940162.5000000019</v>
      </c>
      <c r="X11" s="80"/>
      <c r="Y11" s="80"/>
      <c r="Z11" s="84"/>
      <c r="AA11" s="84"/>
      <c r="AB11" s="84"/>
      <c r="AC11" s="84"/>
      <c r="AD11" s="84"/>
      <c r="AE11" s="84"/>
      <c r="AF11" s="84"/>
      <c r="AG11" s="84"/>
      <c r="AJ11" s="80"/>
      <c r="AK11" s="80"/>
      <c r="AL11" s="84"/>
      <c r="AM11" s="84"/>
      <c r="AN11" s="84"/>
      <c r="AO11" s="84"/>
      <c r="AP11" s="84"/>
      <c r="AQ11" s="84"/>
      <c r="AR11" s="84"/>
      <c r="AS11" s="84"/>
    </row>
    <row r="12" spans="1:45" x14ac:dyDescent="0.2">
      <c r="B12" s="167" t="s">
        <v>76</v>
      </c>
      <c r="C12" s="167"/>
      <c r="D12" s="130">
        <v>400000</v>
      </c>
      <c r="E12" s="131"/>
      <c r="F12" s="99"/>
      <c r="H12" s="80"/>
      <c r="I12" s="80"/>
      <c r="J12" s="84"/>
      <c r="K12" s="84"/>
      <c r="L12" s="84"/>
      <c r="M12" s="84"/>
      <c r="N12" s="84"/>
      <c r="O12" s="84"/>
      <c r="P12" s="84"/>
      <c r="Q12" s="84"/>
      <c r="X12" s="80"/>
      <c r="Y12" s="80"/>
      <c r="Z12" s="84"/>
      <c r="AA12" s="84"/>
      <c r="AB12" s="84"/>
      <c r="AC12" s="84"/>
      <c r="AD12" s="84"/>
      <c r="AE12" s="84"/>
      <c r="AF12" s="84"/>
      <c r="AG12" s="84"/>
      <c r="AJ12" s="80"/>
      <c r="AK12" s="80"/>
      <c r="AL12" s="84"/>
      <c r="AM12" s="84"/>
      <c r="AN12" s="84"/>
      <c r="AO12" s="84"/>
      <c r="AP12" s="84"/>
      <c r="AQ12" s="84"/>
      <c r="AR12" s="84"/>
      <c r="AS12" s="84"/>
    </row>
    <row r="13" spans="1:45" x14ac:dyDescent="0.2">
      <c r="A13" s="167" t="s">
        <v>77</v>
      </c>
      <c r="B13" s="167"/>
      <c r="C13" s="167"/>
      <c r="D13" s="99"/>
      <c r="E13" s="99"/>
      <c r="F13" s="99"/>
      <c r="H13" s="80" t="s">
        <v>104</v>
      </c>
      <c r="J13" s="82"/>
      <c r="K13" s="82"/>
      <c r="L13" s="82">
        <v>30000</v>
      </c>
      <c r="M13" s="82">
        <v>100000</v>
      </c>
      <c r="N13" s="61">
        <f>M13</f>
        <v>100000</v>
      </c>
      <c r="O13" s="61">
        <f>N13*(1+D54)</f>
        <v>300000</v>
      </c>
      <c r="P13" s="61">
        <f>O13*(1+E54)</f>
        <v>600000</v>
      </c>
      <c r="Q13" s="61">
        <f>P13*(1+F54)</f>
        <v>900000</v>
      </c>
      <c r="X13" s="80"/>
      <c r="Y13" s="80"/>
      <c r="Z13" s="84"/>
      <c r="AA13" s="84"/>
      <c r="AB13" s="84"/>
      <c r="AC13" s="84"/>
      <c r="AD13" s="84"/>
      <c r="AE13" s="84"/>
      <c r="AF13" s="84"/>
      <c r="AG13" s="84"/>
      <c r="AJ13" s="80"/>
      <c r="AK13" s="80"/>
      <c r="AL13" s="84"/>
      <c r="AM13" s="84"/>
      <c r="AN13" s="84"/>
      <c r="AO13" s="84"/>
      <c r="AP13" s="84"/>
      <c r="AQ13" s="84"/>
      <c r="AR13" s="84"/>
      <c r="AS13" s="84"/>
    </row>
    <row r="14" spans="1:45" x14ac:dyDescent="0.2">
      <c r="B14" s="167" t="s">
        <v>78</v>
      </c>
      <c r="C14" s="167"/>
      <c r="D14" s="130">
        <f>(1500+800+200+50)*D45</f>
        <v>17850</v>
      </c>
      <c r="E14" s="99"/>
      <c r="F14" s="99"/>
      <c r="L14" s="80"/>
      <c r="M14" s="80"/>
      <c r="N14" s="84"/>
      <c r="O14" s="84"/>
      <c r="P14" s="84"/>
      <c r="Q14" s="84"/>
      <c r="R14" s="84"/>
      <c r="S14" s="84"/>
      <c r="T14" s="84"/>
      <c r="U14" s="84"/>
      <c r="X14" s="80"/>
      <c r="Y14" s="80"/>
      <c r="Z14" s="84"/>
      <c r="AA14" s="84"/>
      <c r="AB14" s="84"/>
      <c r="AC14" s="84"/>
      <c r="AD14" s="84"/>
      <c r="AE14" s="84"/>
      <c r="AF14" s="84"/>
      <c r="AG14" s="84"/>
      <c r="AJ14" s="80"/>
      <c r="AK14" s="80"/>
      <c r="AL14" s="84"/>
      <c r="AM14" s="84"/>
      <c r="AN14" s="84"/>
      <c r="AO14" s="84"/>
      <c r="AP14" s="84"/>
      <c r="AQ14" s="84"/>
      <c r="AR14" s="84"/>
      <c r="AS14" s="84"/>
    </row>
    <row r="15" spans="1:45" x14ac:dyDescent="0.2">
      <c r="B15" s="167" t="s">
        <v>118</v>
      </c>
      <c r="C15" s="167"/>
      <c r="D15" s="130">
        <v>10000</v>
      </c>
      <c r="E15" s="99"/>
      <c r="F15" s="99"/>
      <c r="L15" s="80"/>
      <c r="M15" s="80"/>
      <c r="N15" s="84"/>
      <c r="O15" s="84"/>
      <c r="P15" s="84"/>
      <c r="Q15" s="84"/>
      <c r="R15" s="84"/>
      <c r="S15" s="84"/>
      <c r="T15" s="84"/>
      <c r="U15" s="84"/>
      <c r="X15" s="80"/>
      <c r="Y15" s="80"/>
      <c r="Z15" s="84"/>
      <c r="AA15" s="84"/>
      <c r="AB15" s="84"/>
      <c r="AC15" s="84"/>
      <c r="AD15" s="84"/>
      <c r="AE15" s="84"/>
      <c r="AF15" s="84"/>
      <c r="AG15" s="84"/>
      <c r="AJ15" s="80"/>
      <c r="AK15" s="80"/>
      <c r="AL15" s="84"/>
      <c r="AM15" s="84"/>
      <c r="AN15" s="84"/>
      <c r="AO15" s="84"/>
      <c r="AP15" s="84"/>
      <c r="AQ15" s="84"/>
      <c r="AR15" s="84"/>
      <c r="AS15" s="84"/>
    </row>
    <row r="16" spans="1:45" x14ac:dyDescent="0.2">
      <c r="B16" s="167" t="s">
        <v>79</v>
      </c>
      <c r="C16" s="167"/>
      <c r="D16" s="132">
        <v>179</v>
      </c>
      <c r="E16" s="99"/>
      <c r="F16" s="99"/>
      <c r="L16" s="80"/>
      <c r="M16" s="80"/>
      <c r="N16" s="84"/>
      <c r="O16" s="84"/>
      <c r="P16" s="84"/>
      <c r="Q16" s="84"/>
      <c r="R16" s="84"/>
      <c r="S16" s="84"/>
      <c r="T16" s="84"/>
      <c r="U16" s="84"/>
      <c r="X16" s="80"/>
      <c r="Y16" s="80"/>
      <c r="Z16" s="84"/>
      <c r="AA16" s="84"/>
      <c r="AB16" s="84"/>
      <c r="AC16" s="84"/>
      <c r="AD16" s="84"/>
      <c r="AE16" s="84"/>
      <c r="AF16" s="84"/>
      <c r="AG16" s="84"/>
      <c r="AJ16" s="80"/>
      <c r="AK16" s="80"/>
      <c r="AL16" s="84"/>
      <c r="AM16" s="84"/>
      <c r="AN16" s="84"/>
      <c r="AO16" s="84"/>
      <c r="AP16" s="84"/>
      <c r="AQ16" s="84"/>
      <c r="AR16" s="84"/>
      <c r="AS16" s="84"/>
    </row>
    <row r="17" spans="1:46" x14ac:dyDescent="0.2">
      <c r="A17" s="167" t="s">
        <v>80</v>
      </c>
      <c r="B17" s="167"/>
      <c r="C17" s="167"/>
      <c r="D17" s="99"/>
      <c r="E17" s="99"/>
      <c r="F17" s="99"/>
      <c r="L17" s="80"/>
      <c r="M17" s="80"/>
      <c r="N17" s="83"/>
      <c r="O17" s="83"/>
      <c r="P17" s="83"/>
      <c r="Q17" s="83"/>
      <c r="R17" s="84"/>
      <c r="S17" s="83"/>
      <c r="T17" s="83"/>
      <c r="U17" s="83"/>
      <c r="X17" s="80"/>
      <c r="Y17" s="80"/>
      <c r="Z17" s="83"/>
      <c r="AA17" s="83"/>
      <c r="AB17" s="83"/>
      <c r="AC17" s="83"/>
      <c r="AD17" s="84"/>
      <c r="AE17" s="83"/>
      <c r="AF17" s="83"/>
      <c r="AG17" s="83"/>
      <c r="AJ17" s="80"/>
      <c r="AK17" s="80"/>
      <c r="AL17" s="83"/>
      <c r="AM17" s="83"/>
      <c r="AN17" s="83"/>
      <c r="AO17" s="83"/>
      <c r="AP17" s="84"/>
      <c r="AQ17" s="83"/>
      <c r="AR17" s="83"/>
      <c r="AS17" s="83"/>
    </row>
    <row r="18" spans="1:46" x14ac:dyDescent="0.2">
      <c r="B18" s="167" t="s">
        <v>123</v>
      </c>
      <c r="C18" s="167"/>
      <c r="D18" s="130">
        <v>160000</v>
      </c>
      <c r="E18" s="99"/>
      <c r="F18" s="99"/>
      <c r="L18" s="80"/>
      <c r="M18" s="80"/>
      <c r="N18" s="83"/>
      <c r="O18" s="83"/>
      <c r="P18" s="83"/>
      <c r="Q18" s="83"/>
      <c r="R18" s="84"/>
      <c r="S18" s="83"/>
      <c r="T18" s="83"/>
      <c r="U18" s="83"/>
      <c r="X18" s="80"/>
      <c r="Y18" s="80"/>
      <c r="Z18" s="83"/>
      <c r="AA18" s="83"/>
      <c r="AB18" s="83"/>
      <c r="AC18" s="83"/>
      <c r="AD18" s="84"/>
      <c r="AE18" s="83"/>
      <c r="AF18" s="83"/>
      <c r="AG18" s="83"/>
      <c r="AJ18" s="80"/>
      <c r="AK18" s="80"/>
      <c r="AL18" s="83"/>
      <c r="AM18" s="83"/>
      <c r="AN18" s="83"/>
      <c r="AO18" s="83"/>
      <c r="AP18" s="84"/>
      <c r="AQ18" s="83"/>
      <c r="AR18" s="83"/>
      <c r="AS18" s="83"/>
    </row>
    <row r="19" spans="1:46" x14ac:dyDescent="0.2">
      <c r="B19" s="167" t="s">
        <v>124</v>
      </c>
      <c r="C19" s="167"/>
      <c r="D19" s="130">
        <v>95000</v>
      </c>
      <c r="E19" s="99"/>
      <c r="F19" s="99"/>
      <c r="L19" s="80"/>
      <c r="N19" s="83"/>
      <c r="O19" s="83"/>
      <c r="P19" s="83"/>
      <c r="Q19" s="83"/>
      <c r="R19" s="84"/>
      <c r="S19" s="83"/>
      <c r="T19" s="83"/>
      <c r="U19" s="83"/>
      <c r="X19" s="80"/>
      <c r="Z19" s="83"/>
      <c r="AA19" s="83"/>
      <c r="AB19" s="83"/>
      <c r="AC19" s="83"/>
      <c r="AD19" s="84"/>
      <c r="AE19" s="83"/>
      <c r="AF19" s="83"/>
      <c r="AG19" s="83"/>
      <c r="AJ19" s="80"/>
      <c r="AL19" s="83"/>
      <c r="AM19" s="83"/>
      <c r="AN19" s="83"/>
      <c r="AO19" s="83"/>
      <c r="AP19" s="84"/>
      <c r="AQ19" s="83"/>
      <c r="AR19" s="83"/>
      <c r="AS19" s="83"/>
    </row>
    <row r="20" spans="1:46" x14ac:dyDescent="0.2">
      <c r="B20" s="167" t="s">
        <v>81</v>
      </c>
      <c r="C20" s="167"/>
      <c r="D20" s="130">
        <v>80000</v>
      </c>
      <c r="E20" s="99"/>
      <c r="F20" s="99"/>
      <c r="L20" s="80"/>
      <c r="M20" s="80"/>
      <c r="N20" s="83"/>
      <c r="O20" s="83"/>
      <c r="P20" s="83"/>
      <c r="Q20" s="83"/>
      <c r="R20" s="84"/>
      <c r="S20" s="83"/>
      <c r="T20" s="83"/>
      <c r="U20" s="83"/>
      <c r="X20" s="80"/>
      <c r="Y20" s="80"/>
      <c r="Z20" s="83"/>
      <c r="AA20" s="83"/>
      <c r="AB20" s="83"/>
      <c r="AC20" s="83"/>
      <c r="AD20" s="84"/>
      <c r="AE20" s="83"/>
      <c r="AF20" s="83"/>
      <c r="AG20" s="83"/>
      <c r="AJ20" s="80"/>
      <c r="AK20" s="80"/>
      <c r="AL20" s="83"/>
      <c r="AM20" s="83"/>
      <c r="AN20" s="83"/>
      <c r="AO20" s="83"/>
      <c r="AP20" s="84"/>
      <c r="AQ20" s="83"/>
      <c r="AR20" s="83"/>
      <c r="AS20" s="83"/>
    </row>
    <row r="21" spans="1:46" x14ac:dyDescent="0.2">
      <c r="B21" s="167" t="s">
        <v>121</v>
      </c>
      <c r="C21" s="167"/>
      <c r="D21" s="130">
        <v>100000</v>
      </c>
      <c r="E21" s="99"/>
      <c r="F21" s="99"/>
      <c r="N21" s="83"/>
      <c r="Z21" s="83"/>
      <c r="AL21" s="83"/>
    </row>
    <row r="22" spans="1:46" x14ac:dyDescent="0.2">
      <c r="B22" s="167" t="s">
        <v>122</v>
      </c>
      <c r="C22" s="167"/>
      <c r="D22" s="130">
        <v>100000</v>
      </c>
      <c r="E22" s="99"/>
      <c r="F22" s="99"/>
      <c r="X22" s="80"/>
      <c r="Z22" s="84"/>
      <c r="AA22" s="84"/>
      <c r="AB22" s="84"/>
      <c r="AC22" s="84"/>
      <c r="AD22" s="84"/>
      <c r="AE22" s="84"/>
      <c r="AF22" s="84"/>
      <c r="AG22" s="84"/>
      <c r="AJ22" s="80"/>
      <c r="AL22" s="84"/>
      <c r="AM22" s="84"/>
      <c r="AN22" s="84"/>
      <c r="AO22" s="84"/>
      <c r="AP22" s="84"/>
      <c r="AQ22" s="84"/>
      <c r="AR22" s="84"/>
      <c r="AS22" s="84"/>
    </row>
    <row r="23" spans="1:46" x14ac:dyDescent="0.2">
      <c r="B23" s="167" t="s">
        <v>82</v>
      </c>
      <c r="C23" s="167"/>
      <c r="D23" s="130">
        <v>100000</v>
      </c>
      <c r="E23" s="99"/>
      <c r="F23" s="99"/>
      <c r="L23" s="80"/>
      <c r="N23" s="81"/>
      <c r="O23" s="81"/>
      <c r="P23" s="81"/>
      <c r="Q23" s="81"/>
      <c r="R23" s="81"/>
      <c r="S23" s="81"/>
      <c r="T23" s="81"/>
      <c r="U23" s="81"/>
      <c r="X23" s="80"/>
      <c r="Z23" s="81"/>
      <c r="AA23" s="81"/>
      <c r="AB23" s="81"/>
      <c r="AC23" s="81"/>
      <c r="AD23" s="81"/>
      <c r="AE23" s="81"/>
      <c r="AF23" s="81"/>
      <c r="AG23" s="81"/>
      <c r="AJ23" s="80"/>
      <c r="AL23" s="81"/>
      <c r="AM23" s="81"/>
      <c r="AN23" s="81"/>
      <c r="AO23" s="81"/>
      <c r="AP23" s="81"/>
      <c r="AQ23" s="81"/>
      <c r="AR23" s="81"/>
      <c r="AS23" s="81"/>
    </row>
    <row r="24" spans="1:46" x14ac:dyDescent="0.2">
      <c r="A24" s="167" t="s">
        <v>83</v>
      </c>
      <c r="B24" s="167"/>
      <c r="C24" s="167"/>
      <c r="D24" s="100">
        <v>0.3</v>
      </c>
      <c r="E24" s="99"/>
      <c r="F24" s="99"/>
    </row>
    <row r="25" spans="1:46" x14ac:dyDescent="0.2">
      <c r="B25" s="167" t="s">
        <v>123</v>
      </c>
      <c r="C25" s="167"/>
      <c r="D25" s="103">
        <f t="shared" ref="D25:D30" si="1">$D$24*D18</f>
        <v>48000</v>
      </c>
      <c r="E25" s="99"/>
      <c r="F25" s="99"/>
    </row>
    <row r="26" spans="1:46" x14ac:dyDescent="0.2">
      <c r="B26" s="167" t="s">
        <v>124</v>
      </c>
      <c r="C26" s="167"/>
      <c r="D26" s="103">
        <f t="shared" si="1"/>
        <v>28500</v>
      </c>
      <c r="E26" s="99"/>
      <c r="F26" s="9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</row>
    <row r="27" spans="1:46" x14ac:dyDescent="0.2">
      <c r="B27" s="167" t="s">
        <v>81</v>
      </c>
      <c r="C27" s="167"/>
      <c r="D27" s="103">
        <f t="shared" si="1"/>
        <v>24000</v>
      </c>
      <c r="E27" s="99"/>
      <c r="F27" s="99"/>
      <c r="M27" s="62"/>
      <c r="N27" s="62"/>
      <c r="O27" s="62"/>
      <c r="P27" s="62"/>
      <c r="Q27" s="62"/>
      <c r="R27" s="80"/>
      <c r="S27" s="139"/>
      <c r="T27" s="139"/>
      <c r="U27" s="139"/>
      <c r="Y27" s="62"/>
      <c r="Z27" s="62"/>
      <c r="AA27" s="62"/>
      <c r="AB27" s="62"/>
      <c r="AC27" s="62"/>
      <c r="AD27" s="80"/>
      <c r="AE27" s="139"/>
      <c r="AF27" s="139"/>
      <c r="AG27" s="139"/>
      <c r="AK27" s="62"/>
      <c r="AL27" s="62"/>
      <c r="AM27" s="62"/>
      <c r="AN27" s="62"/>
      <c r="AO27" s="62"/>
      <c r="AP27" s="80"/>
      <c r="AQ27" s="139"/>
      <c r="AR27" s="139"/>
      <c r="AS27" s="139"/>
    </row>
    <row r="28" spans="1:46" x14ac:dyDescent="0.2">
      <c r="B28" s="167" t="s">
        <v>121</v>
      </c>
      <c r="C28" s="167"/>
      <c r="D28" s="103">
        <f t="shared" si="1"/>
        <v>30000</v>
      </c>
      <c r="E28" s="99"/>
      <c r="F28" s="99"/>
      <c r="M28" s="140"/>
      <c r="N28" s="140"/>
      <c r="O28" s="112"/>
      <c r="P28" s="106"/>
      <c r="Q28" s="106"/>
      <c r="S28" s="112"/>
      <c r="T28" s="106"/>
      <c r="U28" s="106"/>
      <c r="Y28" s="140"/>
      <c r="Z28" s="140"/>
      <c r="AA28" s="112"/>
      <c r="AB28" s="106"/>
      <c r="AC28" s="106"/>
      <c r="AE28" s="112"/>
      <c r="AF28" s="106"/>
      <c r="AG28" s="106"/>
      <c r="AK28" s="140"/>
      <c r="AL28" s="140"/>
      <c r="AM28" s="112"/>
      <c r="AN28" s="106"/>
      <c r="AO28" s="106"/>
      <c r="AQ28" s="112"/>
      <c r="AR28" s="106"/>
      <c r="AS28" s="106"/>
    </row>
    <row r="29" spans="1:46" x14ac:dyDescent="0.2">
      <c r="B29" s="167" t="s">
        <v>122</v>
      </c>
      <c r="C29" s="167"/>
      <c r="D29" s="103">
        <f t="shared" si="1"/>
        <v>30000</v>
      </c>
      <c r="E29" s="99"/>
      <c r="F29" s="99"/>
      <c r="L29" s="141"/>
      <c r="M29" s="140"/>
      <c r="N29" s="140"/>
      <c r="O29" s="112"/>
      <c r="P29" s="106"/>
      <c r="Q29" s="106"/>
      <c r="S29" s="142"/>
      <c r="T29" s="143"/>
      <c r="U29" s="144"/>
      <c r="V29" s="138"/>
      <c r="X29" s="141"/>
      <c r="Y29" s="140"/>
      <c r="Z29" s="140"/>
      <c r="AA29" s="112"/>
      <c r="AB29" s="106"/>
      <c r="AC29" s="106"/>
      <c r="AE29" s="142"/>
      <c r="AF29" s="143"/>
      <c r="AG29" s="144"/>
      <c r="AH29" s="138"/>
      <c r="AJ29" s="141"/>
      <c r="AK29" s="140"/>
      <c r="AL29" s="140"/>
      <c r="AM29" s="112"/>
      <c r="AN29" s="106"/>
      <c r="AO29" s="106"/>
      <c r="AQ29" s="142"/>
      <c r="AR29" s="143"/>
      <c r="AS29" s="144"/>
      <c r="AT29" s="138"/>
    </row>
    <row r="30" spans="1:46" x14ac:dyDescent="0.2">
      <c r="B30" s="167" t="s">
        <v>82</v>
      </c>
      <c r="C30" s="167"/>
      <c r="D30" s="103">
        <f t="shared" si="1"/>
        <v>30000</v>
      </c>
      <c r="E30" s="99"/>
      <c r="F30" s="99"/>
      <c r="L30" s="141"/>
      <c r="M30" s="62"/>
      <c r="N30" s="140"/>
      <c r="O30" s="145"/>
      <c r="P30" s="145"/>
      <c r="Q30" s="146"/>
      <c r="S30" s="145"/>
      <c r="T30" s="145"/>
      <c r="U30" s="84"/>
      <c r="V30" s="147"/>
      <c r="X30" s="141"/>
      <c r="Y30" s="62"/>
      <c r="Z30" s="140"/>
      <c r="AA30" s="145"/>
      <c r="AB30" s="145"/>
      <c r="AC30" s="146"/>
      <c r="AE30" s="145"/>
      <c r="AF30" s="145"/>
      <c r="AG30" s="84"/>
      <c r="AH30" s="147"/>
      <c r="AJ30" s="141"/>
      <c r="AK30" s="62"/>
      <c r="AL30" s="140"/>
      <c r="AM30" s="145"/>
      <c r="AN30" s="145"/>
      <c r="AO30" s="146"/>
      <c r="AQ30" s="145"/>
      <c r="AR30" s="145"/>
      <c r="AS30" s="84"/>
      <c r="AT30" s="147"/>
    </row>
    <row r="31" spans="1:46" x14ac:dyDescent="0.2">
      <c r="A31" s="167" t="s">
        <v>84</v>
      </c>
      <c r="B31" s="167"/>
      <c r="C31" s="167"/>
      <c r="D31" s="99"/>
      <c r="E31" s="99"/>
      <c r="F31" s="99"/>
      <c r="L31" s="141"/>
      <c r="M31" s="62"/>
      <c r="N31" s="140"/>
      <c r="O31" s="145"/>
      <c r="P31" s="145"/>
      <c r="Q31" s="146"/>
      <c r="S31" s="145"/>
      <c r="T31" s="145"/>
      <c r="U31" s="84"/>
      <c r="X31" s="141"/>
      <c r="Y31" s="62"/>
      <c r="Z31" s="140"/>
      <c r="AA31" s="145"/>
      <c r="AB31" s="145"/>
      <c r="AC31" s="146"/>
      <c r="AE31" s="145"/>
      <c r="AF31" s="145"/>
      <c r="AG31" s="84"/>
      <c r="AJ31" s="141"/>
      <c r="AK31" s="62"/>
      <c r="AL31" s="140"/>
      <c r="AM31" s="145"/>
      <c r="AN31" s="145"/>
      <c r="AO31" s="146"/>
      <c r="AQ31" s="145"/>
      <c r="AR31" s="145"/>
      <c r="AS31" s="84"/>
    </row>
    <row r="32" spans="1:46" x14ac:dyDescent="0.2">
      <c r="B32" s="167" t="s">
        <v>142</v>
      </c>
      <c r="C32" s="167"/>
      <c r="D32" s="133">
        <v>5.0000000000000001E-4</v>
      </c>
      <c r="E32" s="99"/>
      <c r="F32" s="99"/>
      <c r="L32" s="141"/>
      <c r="M32" s="62"/>
      <c r="N32" s="140"/>
      <c r="O32" s="145"/>
      <c r="P32" s="145"/>
      <c r="Q32" s="146"/>
      <c r="S32" s="145"/>
      <c r="T32" s="145"/>
      <c r="U32" s="84"/>
      <c r="X32" s="141"/>
      <c r="Y32" s="62"/>
      <c r="Z32" s="140"/>
      <c r="AA32" s="145"/>
      <c r="AB32" s="145"/>
      <c r="AC32" s="146"/>
      <c r="AE32" s="145"/>
      <c r="AF32" s="145"/>
      <c r="AG32" s="84"/>
      <c r="AJ32" s="141"/>
      <c r="AK32" s="62"/>
      <c r="AL32" s="140"/>
      <c r="AM32" s="145"/>
      <c r="AN32" s="145"/>
      <c r="AO32" s="146"/>
      <c r="AQ32" s="145"/>
      <c r="AR32" s="145"/>
      <c r="AS32" s="84"/>
    </row>
    <row r="33" spans="1:46" x14ac:dyDescent="0.2">
      <c r="B33" s="167" t="s">
        <v>135</v>
      </c>
      <c r="C33" s="167"/>
      <c r="D33" s="99"/>
      <c r="E33" s="99"/>
      <c r="F33" s="134"/>
      <c r="L33" s="141"/>
      <c r="M33" s="62"/>
      <c r="N33" s="140"/>
      <c r="O33" s="145"/>
      <c r="P33" s="145"/>
      <c r="Q33" s="146"/>
      <c r="S33" s="83"/>
      <c r="T33" s="145"/>
      <c r="U33" s="84"/>
      <c r="X33" s="141"/>
      <c r="Y33" s="62"/>
      <c r="Z33" s="140"/>
      <c r="AA33" s="145"/>
      <c r="AB33" s="145"/>
      <c r="AC33" s="146"/>
      <c r="AE33" s="83"/>
      <c r="AF33" s="145"/>
      <c r="AG33" s="84"/>
      <c r="AJ33" s="141"/>
      <c r="AK33" s="62"/>
      <c r="AL33" s="140"/>
      <c r="AM33" s="145"/>
      <c r="AN33" s="145"/>
      <c r="AO33" s="146"/>
      <c r="AQ33" s="83"/>
      <c r="AR33" s="145"/>
      <c r="AS33" s="84"/>
    </row>
    <row r="34" spans="1:46" x14ac:dyDescent="0.2">
      <c r="B34" s="167" t="s">
        <v>144</v>
      </c>
      <c r="C34" s="167"/>
      <c r="D34" s="103">
        <v>8000</v>
      </c>
      <c r="E34" s="99"/>
      <c r="F34" s="134"/>
      <c r="L34" s="141"/>
      <c r="N34" s="140"/>
      <c r="O34" s="148"/>
      <c r="P34" s="148"/>
      <c r="S34" s="70"/>
      <c r="T34" s="149"/>
      <c r="U34" s="149"/>
      <c r="V34" s="70"/>
      <c r="X34" s="141"/>
      <c r="Z34" s="140"/>
      <c r="AA34" s="148"/>
      <c r="AB34" s="148"/>
      <c r="AE34" s="70"/>
      <c r="AF34" s="149"/>
      <c r="AG34" s="149"/>
      <c r="AH34" s="70"/>
      <c r="AJ34" s="141"/>
      <c r="AL34" s="140"/>
      <c r="AM34" s="148"/>
      <c r="AN34" s="148"/>
      <c r="AQ34" s="70"/>
      <c r="AR34" s="149"/>
      <c r="AS34" s="149"/>
      <c r="AT34" s="70"/>
    </row>
    <row r="35" spans="1:46" x14ac:dyDescent="0.2">
      <c r="B35" s="167" t="s">
        <v>120</v>
      </c>
      <c r="C35" s="167"/>
      <c r="D35" s="99">
        <f>0.12/1000</f>
        <v>1.1999999999999999E-4</v>
      </c>
      <c r="E35" s="135">
        <f>200*365</f>
        <v>73000</v>
      </c>
      <c r="F35" s="166" t="s">
        <v>148</v>
      </c>
      <c r="L35" s="141"/>
      <c r="P35" s="113"/>
      <c r="Q35" s="83"/>
      <c r="T35" s="112"/>
      <c r="U35" s="83"/>
      <c r="X35" s="141"/>
      <c r="AB35" s="113"/>
      <c r="AC35" s="83"/>
      <c r="AF35" s="112"/>
      <c r="AG35" s="83"/>
      <c r="AJ35" s="141"/>
      <c r="AN35" s="113"/>
      <c r="AO35" s="83"/>
      <c r="AR35" s="112"/>
      <c r="AS35" s="83"/>
    </row>
    <row r="36" spans="1:46" x14ac:dyDescent="0.2">
      <c r="B36" s="167" t="s">
        <v>125</v>
      </c>
      <c r="C36" s="167"/>
      <c r="D36" s="100">
        <v>0.4</v>
      </c>
      <c r="E36" s="99"/>
      <c r="F36" s="99"/>
      <c r="L36" s="141"/>
      <c r="P36" s="150"/>
      <c r="Q36" s="151"/>
      <c r="T36" s="113"/>
      <c r="U36" s="84"/>
      <c r="X36" s="141"/>
      <c r="AB36" s="150"/>
      <c r="AC36" s="151"/>
      <c r="AF36" s="113"/>
      <c r="AG36" s="84"/>
      <c r="AJ36" s="141"/>
      <c r="AN36" s="150"/>
      <c r="AO36" s="151"/>
      <c r="AR36" s="113"/>
      <c r="AS36" s="84"/>
    </row>
    <row r="37" spans="1:46" x14ac:dyDescent="0.2">
      <c r="A37" s="167" t="s">
        <v>63</v>
      </c>
      <c r="B37" s="167"/>
      <c r="C37" s="167"/>
      <c r="D37" s="99"/>
      <c r="E37" s="99"/>
      <c r="F37" s="99"/>
      <c r="L37" s="141"/>
      <c r="P37" s="113"/>
      <c r="Q37" s="84"/>
      <c r="T37" s="113"/>
      <c r="U37" s="84"/>
      <c r="X37" s="141"/>
      <c r="AB37" s="113"/>
      <c r="AC37" s="84"/>
      <c r="AF37" s="113"/>
      <c r="AG37" s="84"/>
      <c r="AJ37" s="141"/>
      <c r="AN37" s="113"/>
      <c r="AO37" s="84"/>
      <c r="AR37" s="113"/>
      <c r="AS37" s="84"/>
    </row>
    <row r="38" spans="1:46" x14ac:dyDescent="0.2">
      <c r="A38" s="167"/>
      <c r="B38" s="167" t="s">
        <v>141</v>
      </c>
      <c r="C38" s="167"/>
      <c r="D38" s="130">
        <v>5000</v>
      </c>
      <c r="E38" s="99"/>
      <c r="F38" s="99"/>
      <c r="L38" s="141"/>
      <c r="P38" s="113"/>
      <c r="Q38" s="83"/>
      <c r="T38" s="113"/>
      <c r="U38" s="152"/>
      <c r="X38" s="141"/>
      <c r="AB38" s="113"/>
      <c r="AC38" s="83"/>
      <c r="AF38" s="113"/>
      <c r="AG38" s="152"/>
      <c r="AJ38" s="141"/>
      <c r="AN38" s="113"/>
      <c r="AO38" s="83"/>
      <c r="AR38" s="113"/>
      <c r="AS38" s="152"/>
    </row>
    <row r="39" spans="1:46" x14ac:dyDescent="0.2">
      <c r="B39" s="167" t="s">
        <v>85</v>
      </c>
      <c r="C39" s="167"/>
      <c r="D39" s="102">
        <f>8000</f>
        <v>8000</v>
      </c>
      <c r="E39" s="99"/>
      <c r="F39" s="99"/>
      <c r="L39" s="153"/>
      <c r="T39" s="113"/>
      <c r="U39" s="114"/>
      <c r="V39" s="114"/>
      <c r="X39" s="153"/>
      <c r="AF39" s="113"/>
      <c r="AG39" s="114"/>
      <c r="AH39" s="114"/>
      <c r="AJ39" s="153"/>
      <c r="AR39" s="113"/>
      <c r="AS39" s="114"/>
      <c r="AT39" s="114"/>
    </row>
    <row r="40" spans="1:46" x14ac:dyDescent="0.2">
      <c r="B40" s="167" t="s">
        <v>139</v>
      </c>
      <c r="C40" s="167"/>
      <c r="D40" s="132">
        <f>9*D45</f>
        <v>63</v>
      </c>
      <c r="E40" s="99" t="s">
        <v>140</v>
      </c>
      <c r="F40" s="99"/>
      <c r="L40" s="153"/>
      <c r="N40" s="80"/>
      <c r="O40" s="80"/>
      <c r="P40" s="113"/>
      <c r="Q40" s="84"/>
      <c r="T40" s="113"/>
      <c r="U40" s="114"/>
      <c r="V40" s="114"/>
      <c r="X40" s="153"/>
      <c r="Z40" s="80"/>
      <c r="AA40" s="80"/>
      <c r="AB40" s="113"/>
      <c r="AC40" s="84"/>
      <c r="AF40" s="113"/>
      <c r="AG40" s="114"/>
      <c r="AH40" s="114"/>
      <c r="AJ40" s="153"/>
      <c r="AL40" s="80"/>
      <c r="AM40" s="80"/>
      <c r="AN40" s="113"/>
      <c r="AO40" s="84"/>
      <c r="AR40" s="113"/>
      <c r="AS40" s="114"/>
      <c r="AT40" s="114"/>
    </row>
    <row r="41" spans="1:46" x14ac:dyDescent="0.2">
      <c r="B41" s="167" t="s">
        <v>86</v>
      </c>
      <c r="C41" s="167"/>
      <c r="D41" s="99">
        <v>4</v>
      </c>
      <c r="E41" s="99"/>
      <c r="F41" s="99"/>
      <c r="M41" s="140"/>
      <c r="N41" s="140"/>
      <c r="O41" s="112"/>
      <c r="P41" s="106"/>
      <c r="Q41" s="106"/>
      <c r="S41" s="112"/>
      <c r="T41" s="106"/>
      <c r="U41" s="106"/>
      <c r="Y41" s="140"/>
      <c r="Z41" s="140"/>
      <c r="AA41" s="112"/>
      <c r="AB41" s="106"/>
      <c r="AC41" s="106"/>
      <c r="AE41" s="112"/>
      <c r="AF41" s="106"/>
      <c r="AG41" s="106"/>
      <c r="AK41" s="140"/>
      <c r="AL41" s="140"/>
      <c r="AM41" s="112"/>
      <c r="AN41" s="106"/>
      <c r="AO41" s="106"/>
      <c r="AQ41" s="112"/>
      <c r="AR41" s="106"/>
      <c r="AS41" s="106"/>
    </row>
    <row r="42" spans="1:46" x14ac:dyDescent="0.2">
      <c r="B42" s="167" t="s">
        <v>113</v>
      </c>
      <c r="C42" s="167"/>
      <c r="D42" s="100">
        <v>0.6</v>
      </c>
      <c r="E42" s="99" t="s">
        <v>87</v>
      </c>
      <c r="F42" s="99"/>
      <c r="L42" s="141"/>
      <c r="M42" s="140"/>
      <c r="N42" s="140"/>
      <c r="O42" s="112"/>
      <c r="P42" s="106"/>
      <c r="S42" s="142"/>
      <c r="T42" s="143"/>
      <c r="U42" s="144"/>
      <c r="X42" s="141"/>
      <c r="Y42" s="140"/>
      <c r="Z42" s="140"/>
      <c r="AA42" s="112"/>
      <c r="AB42" s="106"/>
      <c r="AE42" s="142"/>
      <c r="AF42" s="143"/>
      <c r="AG42" s="144"/>
      <c r="AJ42" s="141"/>
      <c r="AK42" s="140"/>
      <c r="AL42" s="140"/>
      <c r="AM42" s="112"/>
      <c r="AN42" s="106"/>
      <c r="AQ42" s="142"/>
      <c r="AR42" s="143"/>
      <c r="AS42" s="144"/>
    </row>
    <row r="43" spans="1:46" x14ac:dyDescent="0.2">
      <c r="B43" s="167" t="s">
        <v>115</v>
      </c>
      <c r="C43" s="167"/>
      <c r="D43" s="103">
        <v>25</v>
      </c>
      <c r="E43" s="99"/>
      <c r="F43" s="99"/>
      <c r="L43" s="141"/>
      <c r="M43" s="62"/>
      <c r="N43" s="140"/>
      <c r="O43" s="145"/>
      <c r="P43" s="145"/>
      <c r="Q43" s="146"/>
      <c r="S43" s="145"/>
      <c r="T43" s="145"/>
      <c r="U43" s="84"/>
      <c r="X43" s="141"/>
      <c r="Y43" s="62"/>
      <c r="Z43" s="140"/>
      <c r="AA43" s="145"/>
      <c r="AB43" s="145"/>
      <c r="AC43" s="146"/>
      <c r="AE43" s="145"/>
      <c r="AF43" s="145"/>
      <c r="AG43" s="84"/>
      <c r="AJ43" s="141"/>
      <c r="AK43" s="62"/>
      <c r="AL43" s="140"/>
      <c r="AM43" s="145"/>
      <c r="AN43" s="145"/>
      <c r="AO43" s="146"/>
      <c r="AQ43" s="145"/>
      <c r="AR43" s="145"/>
      <c r="AS43" s="84"/>
    </row>
    <row r="44" spans="1:46" x14ac:dyDescent="0.2">
      <c r="B44" s="167" t="s">
        <v>114</v>
      </c>
      <c r="C44" s="167"/>
      <c r="D44" s="99">
        <v>200</v>
      </c>
      <c r="E44" s="99"/>
      <c r="F44" s="99"/>
      <c r="L44" s="141"/>
      <c r="M44" s="62"/>
      <c r="N44" s="140"/>
      <c r="O44" s="145"/>
      <c r="P44" s="145"/>
      <c r="Q44" s="146"/>
      <c r="S44" s="145"/>
      <c r="T44" s="145"/>
      <c r="U44" s="84"/>
      <c r="X44" s="141"/>
      <c r="Y44" s="62"/>
      <c r="Z44" s="140"/>
      <c r="AA44" s="145"/>
      <c r="AB44" s="145"/>
      <c r="AC44" s="146"/>
      <c r="AE44" s="145"/>
      <c r="AF44" s="145"/>
      <c r="AG44" s="84"/>
      <c r="AJ44" s="141"/>
      <c r="AK44" s="62"/>
      <c r="AL44" s="140"/>
      <c r="AM44" s="145"/>
      <c r="AN44" s="145"/>
      <c r="AO44" s="146"/>
      <c r="AQ44" s="145"/>
      <c r="AR44" s="145"/>
      <c r="AS44" s="84"/>
    </row>
    <row r="45" spans="1:46" x14ac:dyDescent="0.2">
      <c r="B45" s="167" t="s">
        <v>116</v>
      </c>
      <c r="C45" s="167"/>
      <c r="D45" s="99">
        <v>7</v>
      </c>
      <c r="E45" s="99"/>
      <c r="F45" s="99"/>
      <c r="L45" s="141"/>
      <c r="M45" s="62"/>
      <c r="N45" s="140"/>
      <c r="O45" s="145"/>
      <c r="P45" s="145"/>
      <c r="Q45" s="146"/>
      <c r="S45" s="145"/>
      <c r="T45" s="145"/>
      <c r="U45" s="84"/>
      <c r="X45" s="141"/>
      <c r="Y45" s="62"/>
      <c r="Z45" s="140"/>
      <c r="AA45" s="145"/>
      <c r="AB45" s="145"/>
      <c r="AC45" s="146"/>
      <c r="AE45" s="145"/>
      <c r="AF45" s="145"/>
      <c r="AG45" s="84"/>
      <c r="AJ45" s="141"/>
      <c r="AK45" s="62"/>
      <c r="AL45" s="140"/>
      <c r="AM45" s="145"/>
      <c r="AN45" s="145"/>
      <c r="AO45" s="146"/>
      <c r="AQ45" s="145"/>
      <c r="AR45" s="145"/>
      <c r="AS45" s="84"/>
    </row>
    <row r="46" spans="1:46" x14ac:dyDescent="0.2">
      <c r="B46" s="167" t="s">
        <v>117</v>
      </c>
      <c r="C46" s="167"/>
      <c r="D46" s="136">
        <f>D43*D44*D45</f>
        <v>35000</v>
      </c>
      <c r="E46" s="99"/>
      <c r="F46" s="99"/>
      <c r="L46" s="141"/>
      <c r="M46" s="62"/>
      <c r="N46" s="140"/>
      <c r="O46" s="145"/>
      <c r="P46" s="145"/>
      <c r="Q46" s="146"/>
      <c r="S46" s="83"/>
      <c r="T46" s="145"/>
      <c r="U46" s="84"/>
      <c r="X46" s="141"/>
      <c r="Y46" s="62"/>
      <c r="Z46" s="140"/>
      <c r="AA46" s="145"/>
      <c r="AB46" s="145"/>
      <c r="AC46" s="146"/>
      <c r="AE46" s="83"/>
      <c r="AF46" s="145"/>
      <c r="AG46" s="84"/>
      <c r="AJ46" s="141"/>
      <c r="AK46" s="62"/>
      <c r="AL46" s="140"/>
      <c r="AM46" s="145"/>
      <c r="AN46" s="145"/>
      <c r="AO46" s="146"/>
      <c r="AQ46" s="83"/>
      <c r="AR46" s="145"/>
      <c r="AS46" s="84"/>
    </row>
    <row r="47" spans="1:46" x14ac:dyDescent="0.2">
      <c r="A47" s="167" t="s">
        <v>88</v>
      </c>
      <c r="B47" s="167"/>
      <c r="C47" s="167"/>
      <c r="D47" s="99"/>
      <c r="E47" s="99"/>
      <c r="F47" s="99"/>
      <c r="L47" s="141"/>
      <c r="N47" s="140"/>
      <c r="O47" s="148"/>
      <c r="P47" s="148"/>
      <c r="S47" s="70"/>
      <c r="T47" s="149"/>
      <c r="U47" s="149"/>
      <c r="X47" s="141"/>
      <c r="Z47" s="140"/>
      <c r="AA47" s="148"/>
      <c r="AB47" s="148"/>
      <c r="AE47" s="70"/>
      <c r="AF47" s="149"/>
      <c r="AG47" s="149"/>
      <c r="AJ47" s="141"/>
      <c r="AL47" s="140"/>
      <c r="AM47" s="148"/>
      <c r="AN47" s="148"/>
      <c r="AQ47" s="70"/>
      <c r="AR47" s="149"/>
      <c r="AS47" s="149"/>
    </row>
    <row r="48" spans="1:46" x14ac:dyDescent="0.2">
      <c r="B48" s="167" t="s">
        <v>89</v>
      </c>
      <c r="C48" s="167"/>
      <c r="D48" s="100">
        <v>0.09</v>
      </c>
      <c r="E48" s="99"/>
      <c r="F48" s="99"/>
      <c r="L48" s="141"/>
      <c r="P48" s="113"/>
      <c r="Q48" s="83"/>
      <c r="T48" s="112"/>
      <c r="U48" s="83"/>
      <c r="X48" s="141"/>
      <c r="AB48" s="113"/>
      <c r="AC48" s="83"/>
      <c r="AF48" s="112"/>
      <c r="AG48" s="83"/>
      <c r="AJ48" s="141"/>
      <c r="AN48" s="113"/>
      <c r="AO48" s="83"/>
      <c r="AR48" s="112"/>
      <c r="AS48" s="83"/>
    </row>
    <row r="49" spans="1:45" x14ac:dyDescent="0.2">
      <c r="B49" s="167" t="s">
        <v>90</v>
      </c>
      <c r="C49" s="167"/>
      <c r="D49" s="137">
        <f>0.21+0.0485</f>
        <v>0.25850000000000001</v>
      </c>
      <c r="E49" s="99"/>
      <c r="F49" s="99"/>
      <c r="L49" s="141"/>
      <c r="P49" s="150"/>
      <c r="Q49" s="151"/>
      <c r="T49" s="113"/>
      <c r="U49" s="84"/>
      <c r="X49" s="141"/>
      <c r="AB49" s="150"/>
      <c r="AC49" s="151"/>
      <c r="AF49" s="113"/>
      <c r="AG49" s="84"/>
      <c r="AJ49" s="141"/>
      <c r="AN49" s="150"/>
      <c r="AO49" s="151"/>
      <c r="AR49" s="113"/>
      <c r="AS49" s="84"/>
    </row>
    <row r="50" spans="1:45" x14ac:dyDescent="0.2">
      <c r="A50" s="167" t="s">
        <v>143</v>
      </c>
      <c r="B50" s="167"/>
      <c r="C50" s="167"/>
      <c r="D50" s="99"/>
      <c r="E50" s="99"/>
      <c r="F50" s="99"/>
      <c r="L50" s="141"/>
      <c r="P50" s="113"/>
      <c r="Q50" s="84"/>
      <c r="T50" s="113"/>
      <c r="U50" s="84"/>
      <c r="X50" s="141"/>
      <c r="AB50" s="113"/>
      <c r="AC50" s="84"/>
      <c r="AF50" s="113"/>
      <c r="AG50" s="84"/>
      <c r="AJ50" s="141"/>
      <c r="AN50" s="113"/>
      <c r="AO50" s="84"/>
      <c r="AR50" s="113"/>
      <c r="AS50" s="84"/>
    </row>
    <row r="51" spans="1:45" x14ac:dyDescent="0.2">
      <c r="B51" s="167" t="s">
        <v>91</v>
      </c>
      <c r="C51" s="167"/>
      <c r="D51" s="101">
        <v>0.3</v>
      </c>
      <c r="E51" s="99"/>
      <c r="F51" s="99"/>
      <c r="L51" s="141"/>
      <c r="P51" s="113"/>
      <c r="Q51" s="83"/>
      <c r="T51" s="113"/>
      <c r="U51" s="152"/>
      <c r="X51" s="141"/>
      <c r="AB51" s="113"/>
      <c r="AC51" s="83"/>
      <c r="AF51" s="113"/>
      <c r="AG51" s="152"/>
      <c r="AJ51" s="141"/>
      <c r="AN51" s="113"/>
      <c r="AO51" s="83"/>
      <c r="AR51" s="113"/>
      <c r="AS51" s="152"/>
    </row>
    <row r="52" spans="1:45" x14ac:dyDescent="0.2">
      <c r="B52" s="167"/>
      <c r="C52" s="167"/>
      <c r="D52" s="99"/>
      <c r="E52" s="99"/>
      <c r="F52" s="99"/>
      <c r="T52" s="113"/>
      <c r="U52" s="114"/>
      <c r="AF52" s="113"/>
      <c r="AG52" s="114"/>
      <c r="AR52" s="113"/>
      <c r="AS52" s="114"/>
    </row>
    <row r="53" spans="1:45" x14ac:dyDescent="0.2">
      <c r="B53" s="167"/>
      <c r="C53" s="168" t="s">
        <v>137</v>
      </c>
      <c r="D53" s="167">
        <v>2</v>
      </c>
      <c r="E53" s="167">
        <v>3</v>
      </c>
      <c r="F53" s="167">
        <v>4</v>
      </c>
    </row>
    <row r="54" spans="1:45" x14ac:dyDescent="0.2">
      <c r="B54" s="167" t="s">
        <v>136</v>
      </c>
      <c r="C54" s="167"/>
      <c r="D54" s="100">
        <v>2</v>
      </c>
      <c r="E54" s="100">
        <v>1</v>
      </c>
      <c r="F54" s="100">
        <v>0.5</v>
      </c>
    </row>
    <row r="55" spans="1:45" x14ac:dyDescent="0.2">
      <c r="B55" s="167"/>
      <c r="C55" s="167"/>
      <c r="D55" s="99"/>
      <c r="E55" s="99"/>
      <c r="F55" s="99"/>
    </row>
    <row r="56" spans="1:45" x14ac:dyDescent="0.2">
      <c r="B56" s="167" t="s">
        <v>138</v>
      </c>
      <c r="C56" s="167"/>
      <c r="D56" s="100">
        <v>0.05</v>
      </c>
      <c r="E56" s="99"/>
      <c r="F56" s="99"/>
    </row>
    <row r="57" spans="1:45" x14ac:dyDescent="0.2">
      <c r="B57" s="167"/>
      <c r="C57" s="167"/>
      <c r="D57" s="99"/>
      <c r="E57" s="99"/>
      <c r="F57" s="99"/>
    </row>
    <row r="58" spans="1:45" x14ac:dyDescent="0.2">
      <c r="B58" s="167" t="s">
        <v>126</v>
      </c>
      <c r="C58" s="167"/>
      <c r="D58" s="100">
        <v>0.1</v>
      </c>
      <c r="E58" s="99"/>
      <c r="F58" s="99"/>
    </row>
    <row r="59" spans="1:45" x14ac:dyDescent="0.2">
      <c r="B59" s="167" t="s">
        <v>128</v>
      </c>
      <c r="C59" s="167"/>
      <c r="D59" s="100">
        <v>0.05</v>
      </c>
      <c r="E59" s="166" t="s">
        <v>147</v>
      </c>
      <c r="F59" s="99"/>
    </row>
    <row r="60" spans="1:45" x14ac:dyDescent="0.2">
      <c r="B60" s="167"/>
      <c r="C60" s="167"/>
      <c r="D60" s="52"/>
      <c r="E60" s="99"/>
    </row>
    <row r="61" spans="1:45" x14ac:dyDescent="0.2">
      <c r="B61" s="167"/>
      <c r="C61" s="168" t="s">
        <v>137</v>
      </c>
      <c r="D61" s="167">
        <v>2</v>
      </c>
      <c r="E61" s="167">
        <v>3</v>
      </c>
      <c r="F61" s="167">
        <v>4</v>
      </c>
    </row>
    <row r="62" spans="1:45" x14ac:dyDescent="0.2">
      <c r="B62" s="167" t="s">
        <v>127</v>
      </c>
      <c r="C62" s="167"/>
      <c r="D62" s="105">
        <v>100000</v>
      </c>
      <c r="E62" s="105">
        <v>200000</v>
      </c>
      <c r="F62" s="105">
        <v>300000</v>
      </c>
    </row>
    <row r="63" spans="1:45" x14ac:dyDescent="0.2">
      <c r="B63" s="167" t="s">
        <v>130</v>
      </c>
      <c r="C63" s="167"/>
      <c r="D63" s="104">
        <v>200000</v>
      </c>
      <c r="E63" s="105">
        <v>500000</v>
      </c>
      <c r="F63" s="105">
        <v>700000</v>
      </c>
    </row>
    <row r="64" spans="1:45" x14ac:dyDescent="0.2">
      <c r="G64" s="89"/>
    </row>
  </sheetData>
  <mergeCells count="1">
    <mergeCell ref="A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"/>
  <sheetViews>
    <sheetView zoomScaleNormal="80" workbookViewId="0"/>
  </sheetViews>
  <sheetFormatPr baseColWidth="10" defaultColWidth="8.83203125" defaultRowHeight="15" x14ac:dyDescent="0.2"/>
  <cols>
    <col min="1" max="1" width="2.5" customWidth="1"/>
    <col min="2" max="2" width="4.1640625" customWidth="1"/>
    <col min="3" max="3" width="15.5" customWidth="1"/>
    <col min="4" max="4" width="14" customWidth="1"/>
    <col min="5" max="7" width="11" customWidth="1"/>
    <col min="8" max="8" width="15.33203125" customWidth="1"/>
    <col min="9" max="9" width="13.5" customWidth="1"/>
    <col min="10" max="10" width="5" customWidth="1"/>
    <col min="11" max="11" width="2.83203125" customWidth="1"/>
    <col min="12" max="12" width="3.1640625" customWidth="1"/>
    <col min="13" max="13" width="42.33203125" customWidth="1"/>
    <col min="14" max="14" width="11.6640625" bestFit="1" customWidth="1"/>
    <col min="15" max="15" width="12.5" customWidth="1"/>
    <col min="16" max="16" width="11.83203125" bestFit="1" customWidth="1"/>
    <col min="17" max="18" width="12.33203125" bestFit="1" customWidth="1"/>
    <col min="20" max="20" width="10.5" customWidth="1"/>
    <col min="21" max="21" width="13" customWidth="1"/>
    <col min="22" max="22" width="13" bestFit="1" customWidth="1"/>
    <col min="23" max="24" width="14.6640625" bestFit="1" customWidth="1"/>
    <col min="25" max="25" width="16.33203125" bestFit="1" customWidth="1"/>
    <col min="26" max="28" width="11.1640625" bestFit="1" customWidth="1"/>
  </cols>
  <sheetData>
    <row r="1" spans="1:26" ht="18" x14ac:dyDescent="0.2">
      <c r="A1" s="16"/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6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x14ac:dyDescent="0.2">
      <c r="A3" s="9" t="s">
        <v>0</v>
      </c>
      <c r="B3" s="4"/>
      <c r="C3" s="4"/>
      <c r="D3" s="4"/>
      <c r="E3" s="18" t="s">
        <v>2</v>
      </c>
      <c r="F3" s="18">
        <v>1</v>
      </c>
      <c r="G3" s="18">
        <v>2</v>
      </c>
      <c r="H3" s="18">
        <v>3</v>
      </c>
      <c r="I3" s="18">
        <v>4</v>
      </c>
      <c r="J3" s="33"/>
      <c r="K3" s="9" t="s">
        <v>1</v>
      </c>
      <c r="L3" s="4"/>
      <c r="M3" s="4"/>
      <c r="N3" s="18" t="s">
        <v>2</v>
      </c>
      <c r="O3" s="18">
        <v>1</v>
      </c>
      <c r="P3" s="18">
        <v>2</v>
      </c>
      <c r="Q3" s="18">
        <v>3</v>
      </c>
      <c r="R3" s="18">
        <v>4</v>
      </c>
    </row>
    <row r="4" spans="1:26" ht="13.5" customHeight="1" x14ac:dyDescent="0.2">
      <c r="A4" s="9" t="s">
        <v>3</v>
      </c>
      <c r="B4" s="4"/>
      <c r="C4" s="4"/>
      <c r="D4" s="4"/>
      <c r="E4" s="4"/>
      <c r="F4" s="4"/>
      <c r="G4" s="4"/>
      <c r="H4" s="4"/>
      <c r="I4" s="4"/>
      <c r="J4" s="33"/>
      <c r="K4" s="4"/>
      <c r="L4" s="9" t="s">
        <v>4</v>
      </c>
      <c r="M4" s="4"/>
      <c r="N4" s="4"/>
      <c r="O4" s="18"/>
      <c r="P4" s="18"/>
      <c r="Q4" s="18"/>
      <c r="R4" s="18"/>
    </row>
    <row r="5" spans="1:26" x14ac:dyDescent="0.2">
      <c r="A5" s="4"/>
      <c r="B5" s="9" t="s">
        <v>5</v>
      </c>
      <c r="C5" s="9"/>
      <c r="D5" s="4"/>
      <c r="E5" s="4"/>
      <c r="F5" s="4"/>
      <c r="G5" s="4"/>
      <c r="H5" s="4"/>
      <c r="I5" s="4"/>
      <c r="J5" s="33"/>
      <c r="K5" s="4"/>
      <c r="M5" s="4" t="s">
        <v>60</v>
      </c>
      <c r="N5" s="23"/>
      <c r="O5" s="21">
        <f>Assumptions!N6</f>
        <v>487500</v>
      </c>
      <c r="P5" s="21">
        <f>Assumptions!O6</f>
        <v>4725000</v>
      </c>
      <c r="Q5" s="21">
        <f>Assumptions!P6</f>
        <v>9922500</v>
      </c>
      <c r="R5" s="21">
        <f>Assumptions!Q6</f>
        <v>15627937.500000002</v>
      </c>
    </row>
    <row r="6" spans="1:26" x14ac:dyDescent="0.2">
      <c r="A6" s="4"/>
      <c r="B6" s="9"/>
      <c r="C6" s="4" t="s">
        <v>7</v>
      </c>
      <c r="E6" s="19">
        <f>E34-E13</f>
        <v>572150</v>
      </c>
      <c r="F6" s="19">
        <f>O58</f>
        <v>118979</v>
      </c>
      <c r="G6" s="19">
        <f>P58</f>
        <v>955679.05624999991</v>
      </c>
      <c r="H6" s="19">
        <f>Q58</f>
        <v>2052431.8125</v>
      </c>
      <c r="I6" s="19">
        <f>R58</f>
        <v>3806625.6812500013</v>
      </c>
      <c r="J6" s="91"/>
      <c r="K6" s="4"/>
      <c r="M6" s="9" t="s">
        <v>61</v>
      </c>
      <c r="N6" s="4"/>
      <c r="O6" s="19">
        <f>O5</f>
        <v>487500</v>
      </c>
      <c r="P6" s="19">
        <f t="shared" ref="P6:R6" si="0">P5</f>
        <v>4725000</v>
      </c>
      <c r="Q6" s="19">
        <f t="shared" si="0"/>
        <v>9922500</v>
      </c>
      <c r="R6" s="19">
        <f t="shared" si="0"/>
        <v>15627937.500000002</v>
      </c>
    </row>
    <row r="7" spans="1:26" x14ac:dyDescent="0.2">
      <c r="A7" s="4"/>
      <c r="B7" s="4"/>
      <c r="C7" s="4" t="s">
        <v>8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91"/>
      <c r="L7" s="9" t="s">
        <v>6</v>
      </c>
      <c r="M7" s="9"/>
      <c r="N7" s="4"/>
      <c r="O7" s="19"/>
      <c r="P7" s="19"/>
      <c r="Q7" s="19"/>
      <c r="R7" s="19"/>
    </row>
    <row r="8" spans="1:26" x14ac:dyDescent="0.2">
      <c r="A8" s="4"/>
      <c r="B8" s="4"/>
      <c r="C8" s="4" t="s">
        <v>9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91"/>
      <c r="K8" s="4"/>
      <c r="L8" s="4"/>
      <c r="M8" s="4" t="s">
        <v>6</v>
      </c>
      <c r="N8" s="23"/>
      <c r="O8" s="21">
        <f>-Assumptions!N7</f>
        <v>113930</v>
      </c>
      <c r="P8" s="21">
        <f>-Assumptions!O7</f>
        <v>1051350</v>
      </c>
      <c r="Q8" s="21">
        <f>-Assumptions!P7</f>
        <v>2102700</v>
      </c>
      <c r="R8" s="21">
        <f>-Assumptions!Q7</f>
        <v>3154050</v>
      </c>
    </row>
    <row r="9" spans="1:26" x14ac:dyDescent="0.2">
      <c r="A9" s="4"/>
      <c r="B9" s="4"/>
      <c r="C9" s="9" t="s">
        <v>10</v>
      </c>
      <c r="E9" s="19">
        <f>SUM(E6:E8)</f>
        <v>572150</v>
      </c>
      <c r="F9" s="19">
        <f t="shared" ref="F9:I9" si="1">SUM(F6:F8)</f>
        <v>118979</v>
      </c>
      <c r="G9" s="19">
        <f>SUM(G6:G8)</f>
        <v>955679.05624999991</v>
      </c>
      <c r="H9" s="19">
        <f t="shared" si="1"/>
        <v>2052431.8125</v>
      </c>
      <c r="I9" s="19">
        <f t="shared" si="1"/>
        <v>3806625.6812500013</v>
      </c>
      <c r="J9" s="91"/>
      <c r="K9" s="4"/>
      <c r="L9" s="4"/>
      <c r="M9" s="9" t="s">
        <v>62</v>
      </c>
      <c r="N9" s="4"/>
      <c r="O9" s="19">
        <f>O8</f>
        <v>113930</v>
      </c>
      <c r="P9" s="19">
        <f t="shared" ref="P9:R9" si="2">P8</f>
        <v>1051350</v>
      </c>
      <c r="Q9" s="19">
        <f t="shared" si="2"/>
        <v>2102700</v>
      </c>
      <c r="R9" s="19">
        <f t="shared" si="2"/>
        <v>3154050</v>
      </c>
    </row>
    <row r="10" spans="1:26" x14ac:dyDescent="0.2">
      <c r="A10" s="4"/>
      <c r="B10" s="9" t="s">
        <v>12</v>
      </c>
      <c r="C10" s="9"/>
      <c r="D10" s="4"/>
      <c r="E10" s="19"/>
      <c r="F10" s="19"/>
      <c r="G10" s="19"/>
      <c r="H10" s="19"/>
      <c r="I10" s="19"/>
      <c r="J10" s="91"/>
      <c r="K10" s="4"/>
      <c r="L10" s="4"/>
      <c r="M10" s="9"/>
      <c r="N10" s="4"/>
      <c r="O10" s="19"/>
      <c r="P10" s="19"/>
      <c r="Q10" s="19"/>
      <c r="R10" s="19"/>
    </row>
    <row r="11" spans="1:26" x14ac:dyDescent="0.2">
      <c r="A11" s="4"/>
      <c r="B11" s="4"/>
      <c r="C11" s="4" t="s">
        <v>14</v>
      </c>
      <c r="E11" s="19">
        <f>Assumptions!D14+Assumptions!D15</f>
        <v>27850</v>
      </c>
      <c r="F11" s="19">
        <f>E11</f>
        <v>27850</v>
      </c>
      <c r="G11" s="19">
        <f>(F11+P40)-F12</f>
        <v>120887.5</v>
      </c>
      <c r="H11" s="19">
        <f t="shared" ref="H11:I11" si="3">(G11+Q40)-G12</f>
        <v>288925</v>
      </c>
      <c r="I11" s="19">
        <f t="shared" si="3"/>
        <v>506962.5</v>
      </c>
      <c r="J11" s="91"/>
      <c r="K11" s="4"/>
      <c r="L11" s="9" t="s">
        <v>59</v>
      </c>
      <c r="N11" s="4"/>
      <c r="O11" s="19">
        <f>O6-O9</f>
        <v>373570</v>
      </c>
      <c r="P11" s="19">
        <f t="shared" ref="P11:R11" si="4">P6-P9</f>
        <v>3673650</v>
      </c>
      <c r="Q11" s="19">
        <f t="shared" si="4"/>
        <v>7819800</v>
      </c>
      <c r="R11" s="19">
        <f t="shared" si="4"/>
        <v>12473887.500000002</v>
      </c>
      <c r="V11" s="95"/>
      <c r="W11" s="95"/>
      <c r="X11" s="95"/>
      <c r="Y11" s="95"/>
      <c r="Z11" s="95">
        <f t="shared" ref="Z11" si="5">Z9-Z7-Z8</f>
        <v>0</v>
      </c>
    </row>
    <row r="12" spans="1:26" x14ac:dyDescent="0.2">
      <c r="A12" s="4"/>
      <c r="B12" s="4"/>
      <c r="C12" s="4" t="s">
        <v>15</v>
      </c>
      <c r="E12" s="21">
        <v>0</v>
      </c>
      <c r="F12" s="21">
        <f>F44</f>
        <v>6962.5</v>
      </c>
      <c r="G12" s="21">
        <f>G44</f>
        <v>31962.5</v>
      </c>
      <c r="H12" s="21">
        <f>H44</f>
        <v>81962.5</v>
      </c>
      <c r="I12" s="21">
        <f>I44</f>
        <v>156962.5</v>
      </c>
      <c r="J12" s="91"/>
      <c r="K12" s="4"/>
      <c r="L12" s="4"/>
      <c r="M12" s="4"/>
      <c r="N12" s="4"/>
      <c r="O12" s="19"/>
      <c r="P12" s="19"/>
      <c r="Q12" s="19"/>
      <c r="R12" s="19"/>
    </row>
    <row r="13" spans="1:26" x14ac:dyDescent="0.2">
      <c r="A13" s="4"/>
      <c r="B13" s="4"/>
      <c r="C13" s="9" t="s">
        <v>16</v>
      </c>
      <c r="E13" s="19">
        <f>E11-E12</f>
        <v>27850</v>
      </c>
      <c r="F13" s="19">
        <f>F11-F12</f>
        <v>20887.5</v>
      </c>
      <c r="G13" s="19">
        <f t="shared" ref="G13:I13" si="6">G11-G12</f>
        <v>88925</v>
      </c>
      <c r="H13" s="19">
        <f t="shared" si="6"/>
        <v>206962.5</v>
      </c>
      <c r="I13" s="19">
        <f t="shared" si="6"/>
        <v>350000</v>
      </c>
      <c r="J13" s="91"/>
      <c r="K13" s="4"/>
      <c r="L13" s="9" t="s">
        <v>63</v>
      </c>
      <c r="M13" s="4"/>
      <c r="N13" s="4"/>
      <c r="O13" s="19"/>
      <c r="P13" s="19"/>
      <c r="Q13" s="19"/>
      <c r="R13" s="19"/>
    </row>
    <row r="14" spans="1:26" x14ac:dyDescent="0.2">
      <c r="A14" s="4"/>
      <c r="B14" s="4"/>
      <c r="C14" s="4"/>
      <c r="E14" s="19"/>
      <c r="F14" s="19"/>
      <c r="G14" s="19"/>
      <c r="H14" s="19"/>
      <c r="I14" s="19"/>
      <c r="J14" s="91"/>
      <c r="K14" s="4"/>
      <c r="L14" s="4"/>
      <c r="M14" s="4" t="s">
        <v>11</v>
      </c>
      <c r="N14" s="4"/>
      <c r="O14" s="19">
        <f>-Assumptions!N9</f>
        <v>898509</v>
      </c>
      <c r="P14" s="19">
        <f>-Assumptions!O9</f>
        <v>2835000</v>
      </c>
      <c r="Q14" s="19">
        <f>-Assumptions!P9</f>
        <v>5953500</v>
      </c>
      <c r="R14" s="19">
        <f>-Assumptions!Q9</f>
        <v>9376762.5</v>
      </c>
    </row>
    <row r="15" spans="1:26" ht="16" thickBot="1" x14ac:dyDescent="0.25">
      <c r="A15" s="4"/>
      <c r="B15" s="9" t="s">
        <v>19</v>
      </c>
      <c r="C15" s="9"/>
      <c r="D15" s="4"/>
      <c r="E15" s="22">
        <f>E9+E13</f>
        <v>600000</v>
      </c>
      <c r="F15" s="22">
        <f t="shared" ref="F15:I15" si="7">F9+F13</f>
        <v>139866.5</v>
      </c>
      <c r="G15" s="22">
        <f t="shared" si="7"/>
        <v>1044604.0562499999</v>
      </c>
      <c r="H15" s="22">
        <f t="shared" si="7"/>
        <v>2259394.3125</v>
      </c>
      <c r="I15" s="22">
        <f t="shared" si="7"/>
        <v>4156625.6812500013</v>
      </c>
      <c r="J15" s="91"/>
      <c r="K15" s="4"/>
      <c r="L15" s="4"/>
      <c r="M15" s="4" t="s">
        <v>13</v>
      </c>
      <c r="N15" s="23"/>
      <c r="O15" s="21">
        <f>F44</f>
        <v>6962.5</v>
      </c>
      <c r="P15" s="21">
        <f t="shared" ref="P15:R15" si="8">G44</f>
        <v>31962.5</v>
      </c>
      <c r="Q15" s="21">
        <f t="shared" si="8"/>
        <v>81962.5</v>
      </c>
      <c r="R15" s="21">
        <f t="shared" si="8"/>
        <v>156962.5</v>
      </c>
    </row>
    <row r="16" spans="1:26" ht="16" thickTop="1" x14ac:dyDescent="0.2">
      <c r="A16" s="4"/>
      <c r="B16" s="4"/>
      <c r="C16" s="4"/>
      <c r="D16" s="4"/>
      <c r="E16" s="19"/>
      <c r="F16" s="19"/>
      <c r="G16" s="19"/>
      <c r="H16" s="19"/>
      <c r="I16" s="19"/>
      <c r="J16" s="91"/>
      <c r="K16" s="4"/>
      <c r="L16" s="4"/>
      <c r="M16" s="9" t="s">
        <v>64</v>
      </c>
      <c r="N16" s="4"/>
      <c r="O16" s="19">
        <f>SUM(O14:O15)</f>
        <v>905471.5</v>
      </c>
      <c r="P16" s="19">
        <f>SUM(P14:P15)</f>
        <v>2866962.5</v>
      </c>
      <c r="Q16" s="19">
        <f>SUM(Q14:Q15)</f>
        <v>6035462.5</v>
      </c>
      <c r="R16" s="19">
        <f>SUM(R14:R15)</f>
        <v>9533725</v>
      </c>
      <c r="Z16" s="95"/>
    </row>
    <row r="17" spans="1:28" x14ac:dyDescent="0.2">
      <c r="A17" s="9" t="s">
        <v>21</v>
      </c>
      <c r="B17" s="4"/>
      <c r="C17" s="4"/>
      <c r="D17" s="4"/>
      <c r="E17" s="19"/>
      <c r="F17" s="19"/>
      <c r="G17" s="19"/>
      <c r="H17" s="19"/>
      <c r="I17" s="19"/>
      <c r="J17" s="91"/>
      <c r="K17" s="4"/>
      <c r="L17" s="4"/>
      <c r="M17" s="9"/>
      <c r="N17" s="4"/>
      <c r="O17" s="19"/>
      <c r="P17" s="19"/>
      <c r="Q17" s="19"/>
      <c r="R17" s="19"/>
      <c r="Z17" s="95"/>
      <c r="AA17" s="95"/>
    </row>
    <row r="18" spans="1:28" x14ac:dyDescent="0.2">
      <c r="B18" s="9" t="s">
        <v>22</v>
      </c>
      <c r="C18" s="9"/>
      <c r="D18" s="4"/>
      <c r="E18" s="19"/>
      <c r="F18" s="19"/>
      <c r="G18" s="19"/>
      <c r="H18" s="19"/>
      <c r="I18" s="19"/>
      <c r="J18" s="91"/>
      <c r="K18" s="4"/>
      <c r="L18" s="9" t="s">
        <v>65</v>
      </c>
      <c r="M18" s="4"/>
      <c r="N18" s="4"/>
      <c r="O18" s="19">
        <f>O11-O16</f>
        <v>-531901.5</v>
      </c>
      <c r="P18" s="19">
        <f>P11-P16</f>
        <v>806687.5</v>
      </c>
      <c r="Q18" s="19">
        <f>Q11-Q16</f>
        <v>1784337.5</v>
      </c>
      <c r="R18" s="19">
        <f>R11-R16</f>
        <v>2940162.5000000019</v>
      </c>
      <c r="Z18" s="95"/>
      <c r="AA18" s="95"/>
      <c r="AB18" s="95"/>
    </row>
    <row r="19" spans="1:28" x14ac:dyDescent="0.2">
      <c r="A19" s="4"/>
      <c r="B19" s="9"/>
      <c r="C19" s="4" t="s">
        <v>24</v>
      </c>
      <c r="E19" s="19">
        <v>0</v>
      </c>
      <c r="F19" s="19">
        <f>Assumptions!$D$58*O8</f>
        <v>11393</v>
      </c>
      <c r="G19" s="19">
        <f>Assumptions!$D$58*P8</f>
        <v>105135</v>
      </c>
      <c r="H19" s="19">
        <f>Assumptions!$D$58*Q8</f>
        <v>210270</v>
      </c>
      <c r="I19" s="19">
        <f>Assumptions!$D$58*R8</f>
        <v>315405</v>
      </c>
      <c r="J19" s="91"/>
      <c r="K19" s="4"/>
      <c r="L19" s="9"/>
      <c r="M19" s="4"/>
      <c r="N19" s="4"/>
      <c r="O19" s="19"/>
      <c r="P19" s="19"/>
      <c r="Q19" s="19"/>
      <c r="R19" s="19"/>
    </row>
    <row r="20" spans="1:28" x14ac:dyDescent="0.2">
      <c r="A20" s="4"/>
      <c r="B20" s="4"/>
      <c r="C20" s="4" t="s">
        <v>50</v>
      </c>
      <c r="E20" s="21">
        <v>0</v>
      </c>
      <c r="F20" s="21">
        <f>O5*Assumptions!$D$59</f>
        <v>24375</v>
      </c>
      <c r="G20" s="21">
        <f>P5*Assumptions!$D$59</f>
        <v>236250</v>
      </c>
      <c r="H20" s="21">
        <f>Q5*Assumptions!$D$59</f>
        <v>496125</v>
      </c>
      <c r="I20" s="21">
        <f>R5*Assumptions!$D$59</f>
        <v>781396.87500000012</v>
      </c>
      <c r="J20" s="91"/>
      <c r="K20" s="4"/>
      <c r="L20" s="9" t="s">
        <v>66</v>
      </c>
      <c r="M20" s="4"/>
      <c r="N20" s="4"/>
      <c r="O20" s="19"/>
      <c r="P20" s="19"/>
      <c r="Q20" s="19"/>
      <c r="R20" s="19"/>
    </row>
    <row r="21" spans="1:28" x14ac:dyDescent="0.2">
      <c r="A21" s="4"/>
      <c r="B21" s="9"/>
      <c r="C21" s="9" t="s">
        <v>26</v>
      </c>
      <c r="E21" s="19">
        <f>SUM(E19:E20)</f>
        <v>0</v>
      </c>
      <c r="F21" s="19">
        <f>SUM(F19:F20)</f>
        <v>35768</v>
      </c>
      <c r="G21" s="19">
        <f>SUM(G19:G20)</f>
        <v>341385</v>
      </c>
      <c r="H21" s="19">
        <f>SUM(H19:H20)</f>
        <v>706395</v>
      </c>
      <c r="I21" s="19">
        <f>SUM(I19:I20)</f>
        <v>1096801.875</v>
      </c>
      <c r="J21" s="91"/>
      <c r="K21" s="4"/>
      <c r="L21" s="4"/>
      <c r="M21" s="4" t="s">
        <v>17</v>
      </c>
      <c r="N21" s="23"/>
      <c r="O21" s="21">
        <f>-Assumptions!$D$12*Assumptions!$D$48</f>
        <v>-36000</v>
      </c>
      <c r="P21" s="21">
        <f>-Assumptions!$D$12*Assumptions!$D$48</f>
        <v>-36000</v>
      </c>
      <c r="Q21" s="21">
        <f>-Assumptions!$D$12*Assumptions!$D$48</f>
        <v>-36000</v>
      </c>
      <c r="R21" s="21">
        <f>-Assumptions!$D$12*Assumptions!$D$48</f>
        <v>-36000</v>
      </c>
    </row>
    <row r="22" spans="1:28" x14ac:dyDescent="0.2">
      <c r="A22" s="4"/>
      <c r="B22" s="9"/>
      <c r="C22" s="9"/>
      <c r="D22" s="9"/>
      <c r="E22" s="19"/>
      <c r="F22" s="19"/>
      <c r="G22" s="19"/>
      <c r="H22" s="19"/>
      <c r="I22" s="19"/>
      <c r="J22" s="91"/>
      <c r="K22" s="4"/>
      <c r="L22" s="4"/>
      <c r="M22" s="9" t="s">
        <v>67</v>
      </c>
      <c r="N22" s="4" t="s">
        <v>28</v>
      </c>
      <c r="O22" s="19">
        <f>O21</f>
        <v>-36000</v>
      </c>
      <c r="P22" s="19">
        <f t="shared" ref="P22:R22" si="9">P21</f>
        <v>-36000</v>
      </c>
      <c r="Q22" s="19">
        <f t="shared" si="9"/>
        <v>-36000</v>
      </c>
      <c r="R22" s="19">
        <f t="shared" si="9"/>
        <v>-36000</v>
      </c>
    </row>
    <row r="23" spans="1:28" x14ac:dyDescent="0.2">
      <c r="A23" s="4"/>
      <c r="B23" s="9" t="s">
        <v>58</v>
      </c>
      <c r="C23" s="9"/>
      <c r="D23" s="9"/>
      <c r="E23" s="19"/>
      <c r="F23" s="19"/>
      <c r="G23" s="19"/>
      <c r="H23" s="19"/>
      <c r="I23" s="19"/>
      <c r="J23" s="91"/>
      <c r="K23" s="4"/>
      <c r="L23" s="4"/>
      <c r="M23" s="9"/>
      <c r="N23" s="4"/>
      <c r="O23" s="19"/>
      <c r="P23" s="19"/>
      <c r="Q23" s="19"/>
      <c r="R23" s="19"/>
    </row>
    <row r="24" spans="1:28" x14ac:dyDescent="0.2">
      <c r="A24" s="4"/>
      <c r="C24" s="4" t="s">
        <v>119</v>
      </c>
      <c r="E24" s="21">
        <f>Assumptions!D12</f>
        <v>400000</v>
      </c>
      <c r="F24" s="21">
        <f>E24+O45</f>
        <v>400000</v>
      </c>
      <c r="G24" s="21">
        <f>F24+P45</f>
        <v>400000</v>
      </c>
      <c r="H24" s="21">
        <f>G24+Q45</f>
        <v>400000</v>
      </c>
      <c r="I24" s="21">
        <f>H24+R45</f>
        <v>400000</v>
      </c>
      <c r="J24" s="91"/>
      <c r="K24" s="4"/>
      <c r="L24" s="9" t="s">
        <v>18</v>
      </c>
      <c r="M24" s="4"/>
      <c r="N24" s="4"/>
      <c r="O24" s="19">
        <f>O18-O22</f>
        <v>-495901.5</v>
      </c>
      <c r="P24" s="19">
        <f>P18-P22</f>
        <v>842687.5</v>
      </c>
      <c r="Q24" s="19">
        <f t="shared" ref="Q24:R24" si="10">Q18-Q22</f>
        <v>1820337.5</v>
      </c>
      <c r="R24" s="19">
        <f t="shared" si="10"/>
        <v>2976162.5000000019</v>
      </c>
    </row>
    <row r="25" spans="1:28" x14ac:dyDescent="0.2">
      <c r="A25" s="4"/>
      <c r="C25" s="9" t="s">
        <v>57</v>
      </c>
      <c r="E25" s="19">
        <f>SUM(E24)</f>
        <v>400000</v>
      </c>
      <c r="F25" s="19">
        <f t="shared" ref="F25:I25" si="11">SUM(F24)</f>
        <v>400000</v>
      </c>
      <c r="G25" s="19">
        <f t="shared" si="11"/>
        <v>400000</v>
      </c>
      <c r="H25" s="19">
        <f t="shared" si="11"/>
        <v>400000</v>
      </c>
      <c r="I25" s="19">
        <f t="shared" si="11"/>
        <v>400000</v>
      </c>
      <c r="J25" s="91"/>
      <c r="K25" s="4"/>
      <c r="L25" s="4"/>
      <c r="M25" s="4" t="s">
        <v>68</v>
      </c>
      <c r="N25" s="23"/>
      <c r="O25" s="21">
        <f>O55*Assumptions!$D$49</f>
        <v>0</v>
      </c>
      <c r="P25" s="21">
        <f>P55*Assumptions!$D$49</f>
        <v>43566.943749999999</v>
      </c>
      <c r="Q25" s="21">
        <f>Q55*Assumptions!$D$49</f>
        <v>470557.24375000002</v>
      </c>
      <c r="R25" s="21">
        <f>R55*Assumptions!$D$49</f>
        <v>769338.00625000056</v>
      </c>
      <c r="S25" s="33"/>
    </row>
    <row r="26" spans="1:28" ht="16" thickBot="1" x14ac:dyDescent="0.25">
      <c r="A26" s="4"/>
      <c r="D26" s="9"/>
      <c r="E26" s="19"/>
      <c r="F26" s="19"/>
      <c r="G26" s="19"/>
      <c r="H26" s="19"/>
      <c r="I26" s="19"/>
      <c r="J26" s="91"/>
      <c r="K26" s="4"/>
      <c r="L26" s="9" t="s">
        <v>20</v>
      </c>
      <c r="M26" s="4"/>
      <c r="N26" s="24"/>
      <c r="O26" s="25">
        <f>O24-O25</f>
        <v>-495901.5</v>
      </c>
      <c r="P26" s="25">
        <f t="shared" ref="P26:R26" si="12">P24-P25</f>
        <v>799120.55625000002</v>
      </c>
      <c r="Q26" s="25">
        <f t="shared" si="12"/>
        <v>1349780.2562500001</v>
      </c>
      <c r="R26" s="25">
        <f t="shared" si="12"/>
        <v>2206824.4937500013</v>
      </c>
    </row>
    <row r="27" spans="1:28" ht="16" thickTop="1" x14ac:dyDescent="0.2">
      <c r="A27" s="4"/>
      <c r="B27" s="9" t="s">
        <v>29</v>
      </c>
      <c r="C27" s="9"/>
      <c r="E27" s="19">
        <f>E25+E21</f>
        <v>400000</v>
      </c>
      <c r="F27" s="19">
        <f>F25+F21</f>
        <v>435768</v>
      </c>
      <c r="G27" s="19">
        <f>G25+G21</f>
        <v>741385</v>
      </c>
      <c r="H27" s="19">
        <f>H25+H21</f>
        <v>1106395</v>
      </c>
      <c r="I27" s="19">
        <f>I25+I21</f>
        <v>1496801.875</v>
      </c>
      <c r="J27" s="91"/>
      <c r="L27" s="4"/>
      <c r="M27" s="4"/>
      <c r="N27" s="4"/>
      <c r="O27" s="19"/>
      <c r="P27" s="19"/>
      <c r="Q27" s="19"/>
      <c r="R27" s="19"/>
    </row>
    <row r="28" spans="1:28" x14ac:dyDescent="0.2">
      <c r="A28" s="4"/>
      <c r="B28" s="4"/>
      <c r="C28" s="4"/>
      <c r="D28" s="9"/>
      <c r="E28" s="19"/>
      <c r="F28" s="19"/>
      <c r="G28" s="19"/>
      <c r="H28" s="19"/>
      <c r="I28" s="19"/>
      <c r="J28" s="91"/>
      <c r="K28" s="9" t="s">
        <v>23</v>
      </c>
      <c r="L28" s="4"/>
      <c r="M28" s="4"/>
      <c r="N28" s="18"/>
      <c r="O28" s="18"/>
      <c r="P28" s="18"/>
      <c r="Q28" s="18"/>
      <c r="R28" s="18"/>
    </row>
    <row r="29" spans="1:28" x14ac:dyDescent="0.2">
      <c r="A29" s="4"/>
      <c r="B29" s="9" t="s">
        <v>32</v>
      </c>
      <c r="C29" s="9"/>
      <c r="D29" s="4"/>
      <c r="E29" s="19"/>
      <c r="F29" s="19"/>
      <c r="G29" s="19"/>
      <c r="H29" s="19"/>
      <c r="I29" s="19"/>
      <c r="J29" s="91"/>
      <c r="K29" s="4"/>
      <c r="L29" s="9" t="s">
        <v>25</v>
      </c>
      <c r="M29" s="4"/>
      <c r="N29" s="4"/>
      <c r="O29" s="19"/>
      <c r="P29" s="19"/>
      <c r="Q29" s="19"/>
      <c r="R29" s="19"/>
    </row>
    <row r="30" spans="1:28" x14ac:dyDescent="0.2">
      <c r="A30" s="4"/>
      <c r="B30" s="4" t="s">
        <v>28</v>
      </c>
      <c r="C30" s="4" t="s">
        <v>34</v>
      </c>
      <c r="E30" s="19">
        <f>Assumptions!D11</f>
        <v>200000</v>
      </c>
      <c r="F30" s="19">
        <f>E30+F50</f>
        <v>200000</v>
      </c>
      <c r="G30" s="19">
        <f t="shared" ref="G30:I30" si="13">F30+G50</f>
        <v>200000</v>
      </c>
      <c r="H30" s="19">
        <f t="shared" si="13"/>
        <v>200000</v>
      </c>
      <c r="I30" s="19">
        <f t="shared" si="13"/>
        <v>200000</v>
      </c>
      <c r="J30" s="91"/>
      <c r="K30" s="4"/>
      <c r="L30" s="4" t="s">
        <v>20</v>
      </c>
      <c r="M30" s="4"/>
      <c r="N30" s="19">
        <f>N26</f>
        <v>0</v>
      </c>
      <c r="O30" s="19">
        <f>O26</f>
        <v>-495901.5</v>
      </c>
      <c r="P30" s="19">
        <f t="shared" ref="P30:R30" si="14">P26</f>
        <v>799120.55625000002</v>
      </c>
      <c r="Q30" s="19">
        <f t="shared" si="14"/>
        <v>1349780.2562500001</v>
      </c>
      <c r="R30" s="19">
        <f t="shared" si="14"/>
        <v>2206824.4937500013</v>
      </c>
    </row>
    <row r="31" spans="1:28" x14ac:dyDescent="0.2">
      <c r="A31" s="4"/>
      <c r="B31" s="4"/>
      <c r="C31" s="4" t="s">
        <v>49</v>
      </c>
      <c r="E31" s="21">
        <v>0</v>
      </c>
      <c r="F31" s="21">
        <f>E31+O26-O47</f>
        <v>-495901.5</v>
      </c>
      <c r="G31" s="21">
        <f>F31+P26+P47</f>
        <v>103219.05625000002</v>
      </c>
      <c r="H31" s="21">
        <f t="shared" ref="H31:I31" si="15">G31+Q26+Q47</f>
        <v>952999.3125</v>
      </c>
      <c r="I31" s="21">
        <f t="shared" si="15"/>
        <v>2459823.8062500013</v>
      </c>
      <c r="J31" s="91"/>
      <c r="K31" s="4"/>
      <c r="L31" s="4" t="s">
        <v>52</v>
      </c>
      <c r="M31" s="4"/>
      <c r="N31" s="19">
        <f>N15</f>
        <v>0</v>
      </c>
      <c r="O31" s="19">
        <f>F44</f>
        <v>6962.5</v>
      </c>
      <c r="P31" s="19">
        <f>G44</f>
        <v>31962.5</v>
      </c>
      <c r="Q31" s="19">
        <f>H44</f>
        <v>81962.5</v>
      </c>
      <c r="R31" s="19">
        <f>I44</f>
        <v>156962.5</v>
      </c>
    </row>
    <row r="32" spans="1:28" x14ac:dyDescent="0.2">
      <c r="A32" s="4"/>
      <c r="B32" s="4"/>
      <c r="C32" s="9" t="s">
        <v>35</v>
      </c>
      <c r="E32" s="19">
        <f>SUM(E30:E31)</f>
        <v>200000</v>
      </c>
      <c r="F32" s="19">
        <f>SUM(F30:F31)</f>
        <v>-295901.5</v>
      </c>
      <c r="G32" s="19">
        <f t="shared" ref="G32:I32" si="16">SUM(G30:G31)</f>
        <v>303219.05625000002</v>
      </c>
      <c r="H32" s="19">
        <f t="shared" si="16"/>
        <v>1152999.3125</v>
      </c>
      <c r="I32" s="19">
        <f t="shared" si="16"/>
        <v>2659823.8062500013</v>
      </c>
      <c r="J32" s="91"/>
      <c r="K32" s="4"/>
      <c r="L32" s="4" t="s">
        <v>27</v>
      </c>
      <c r="M32" s="4"/>
      <c r="N32" s="19"/>
      <c r="O32" s="19"/>
      <c r="P32" s="19"/>
      <c r="Q32" s="19"/>
      <c r="R32" s="19"/>
    </row>
    <row r="33" spans="1:18" x14ac:dyDescent="0.2">
      <c r="A33" s="4"/>
      <c r="B33" s="9"/>
      <c r="C33" s="4"/>
      <c r="E33" s="19"/>
      <c r="F33" s="19"/>
      <c r="G33" s="19"/>
      <c r="H33" s="19"/>
      <c r="I33" s="19"/>
      <c r="J33" s="91"/>
      <c r="K33" s="4"/>
      <c r="L33" s="4"/>
      <c r="M33" s="4" t="s">
        <v>30</v>
      </c>
      <c r="N33" s="19">
        <v>0</v>
      </c>
      <c r="O33" s="19">
        <f t="shared" ref="O33:R34" si="17">-(F7-E7)</f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</row>
    <row r="34" spans="1:18" ht="16" thickBot="1" x14ac:dyDescent="0.25">
      <c r="A34" s="4"/>
      <c r="B34" s="9" t="s">
        <v>38</v>
      </c>
      <c r="C34" s="9"/>
      <c r="D34" s="4"/>
      <c r="E34" s="22">
        <f>E27+E32</f>
        <v>600000</v>
      </c>
      <c r="F34" s="22">
        <f t="shared" ref="F34:I34" si="18">F27+F32</f>
        <v>139866.5</v>
      </c>
      <c r="G34" s="22">
        <f t="shared" si="18"/>
        <v>1044604.05625</v>
      </c>
      <c r="H34" s="22">
        <f t="shared" si="18"/>
        <v>2259394.3125</v>
      </c>
      <c r="I34" s="22">
        <f t="shared" si="18"/>
        <v>4156625.6812500013</v>
      </c>
      <c r="J34" s="91"/>
      <c r="K34" s="4"/>
      <c r="L34" s="4"/>
      <c r="M34" s="4" t="s">
        <v>31</v>
      </c>
      <c r="N34" s="19">
        <v>0</v>
      </c>
      <c r="O34" s="19">
        <f t="shared" si="17"/>
        <v>0</v>
      </c>
      <c r="P34" s="19">
        <f t="shared" si="17"/>
        <v>0</v>
      </c>
      <c r="Q34" s="19">
        <f t="shared" si="17"/>
        <v>0</v>
      </c>
      <c r="R34" s="19">
        <f t="shared" si="17"/>
        <v>0</v>
      </c>
    </row>
    <row r="35" spans="1:18" ht="16" thickTop="1" x14ac:dyDescent="0.2">
      <c r="A35" s="4"/>
      <c r="B35" s="9"/>
      <c r="C35" s="9"/>
      <c r="D35" s="4"/>
      <c r="E35" s="19">
        <f>E15-E34</f>
        <v>0</v>
      </c>
      <c r="F35" s="19">
        <f>F15-F34</f>
        <v>0</v>
      </c>
      <c r="G35" s="19">
        <f t="shared" ref="G35:I35" si="19">G15-G34</f>
        <v>0</v>
      </c>
      <c r="H35" s="19">
        <f t="shared" si="19"/>
        <v>0</v>
      </c>
      <c r="I35" s="19">
        <f t="shared" si="19"/>
        <v>0</v>
      </c>
      <c r="J35" s="91"/>
      <c r="K35" s="4"/>
      <c r="L35" s="4"/>
      <c r="M35" s="4" t="s">
        <v>33</v>
      </c>
      <c r="N35" s="19">
        <v>0</v>
      </c>
      <c r="O35" s="19">
        <f t="shared" ref="O35:R36" si="20">F19-E19</f>
        <v>11393</v>
      </c>
      <c r="P35" s="19">
        <f t="shared" si="20"/>
        <v>93742</v>
      </c>
      <c r="Q35" s="19">
        <f t="shared" si="20"/>
        <v>105135</v>
      </c>
      <c r="R35" s="19">
        <f t="shared" si="20"/>
        <v>105135</v>
      </c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33"/>
      <c r="K36" s="4"/>
      <c r="L36" s="4"/>
      <c r="M36" s="17" t="s">
        <v>51</v>
      </c>
      <c r="N36" s="21">
        <v>0</v>
      </c>
      <c r="O36" s="21">
        <f t="shared" si="20"/>
        <v>24375</v>
      </c>
      <c r="P36" s="21">
        <f t="shared" si="20"/>
        <v>211875</v>
      </c>
      <c r="Q36" s="21">
        <f t="shared" si="20"/>
        <v>259875</v>
      </c>
      <c r="R36" s="21">
        <f t="shared" si="20"/>
        <v>285271.87500000012</v>
      </c>
    </row>
    <row r="37" spans="1:18" x14ac:dyDescent="0.2">
      <c r="A37" s="9"/>
      <c r="B37" s="4"/>
      <c r="C37" s="4"/>
      <c r="D37" s="4"/>
      <c r="E37" s="18"/>
      <c r="F37" s="18"/>
      <c r="G37" s="18"/>
      <c r="H37" s="18"/>
      <c r="I37" s="18"/>
      <c r="J37" s="90"/>
      <c r="K37" s="4"/>
      <c r="L37" s="4"/>
      <c r="M37" s="9" t="s">
        <v>25</v>
      </c>
      <c r="N37" s="19">
        <f>SUM(N30:N36)</f>
        <v>0</v>
      </c>
      <c r="O37" s="19">
        <f>SUM(O30:O36)</f>
        <v>-453171</v>
      </c>
      <c r="P37" s="19">
        <f t="shared" ref="P37:Q37" si="21">SUM(P30:P36)</f>
        <v>1136700.0562499999</v>
      </c>
      <c r="Q37" s="19">
        <f t="shared" si="21"/>
        <v>1796752.7562500001</v>
      </c>
      <c r="R37" s="19">
        <f>SUM(R30:R36)</f>
        <v>2754193.8687500013</v>
      </c>
    </row>
    <row r="38" spans="1:18" x14ac:dyDescent="0.2">
      <c r="A38" s="4"/>
      <c r="B38" s="9"/>
      <c r="C38" s="9"/>
      <c r="D38" s="157" t="s">
        <v>132</v>
      </c>
      <c r="E38" s="158"/>
      <c r="F38" s="158"/>
      <c r="G38" s="158"/>
      <c r="H38" s="158"/>
      <c r="I38" s="159"/>
      <c r="J38" s="92"/>
      <c r="K38" s="4"/>
      <c r="L38" s="4"/>
      <c r="M38" s="9"/>
      <c r="N38" s="19"/>
      <c r="O38" s="19"/>
      <c r="P38" s="19"/>
      <c r="Q38" s="19"/>
      <c r="R38" s="19"/>
    </row>
    <row r="39" spans="1:18" x14ac:dyDescent="0.2">
      <c r="A39" s="9"/>
      <c r="B39" s="9"/>
      <c r="C39" s="9"/>
      <c r="D39" s="117" t="s">
        <v>133</v>
      </c>
      <c r="E39" s="122" t="s">
        <v>134</v>
      </c>
      <c r="F39" s="122">
        <v>1</v>
      </c>
      <c r="G39" s="122">
        <v>2</v>
      </c>
      <c r="H39" s="122">
        <v>3</v>
      </c>
      <c r="I39" s="118">
        <v>4</v>
      </c>
      <c r="J39" s="93"/>
      <c r="K39" s="4"/>
      <c r="L39" s="9" t="s">
        <v>36</v>
      </c>
      <c r="M39" s="4"/>
      <c r="N39" s="19"/>
      <c r="O39" s="19"/>
      <c r="P39" s="19"/>
      <c r="Q39" s="19"/>
      <c r="R39" s="19"/>
    </row>
    <row r="40" spans="1:18" x14ac:dyDescent="0.2">
      <c r="A40" s="9"/>
      <c r="B40" s="9"/>
      <c r="C40" s="9"/>
      <c r="D40" s="96">
        <v>4</v>
      </c>
      <c r="E40" s="123">
        <f>E11</f>
        <v>27850</v>
      </c>
      <c r="F40" s="95">
        <f>E40/D40</f>
        <v>6962.5</v>
      </c>
      <c r="G40" s="95">
        <f>F40</f>
        <v>6962.5</v>
      </c>
      <c r="H40" s="95">
        <f t="shared" ref="H40:I40" si="22">G40</f>
        <v>6962.5</v>
      </c>
      <c r="I40" s="97">
        <f t="shared" si="22"/>
        <v>6962.5</v>
      </c>
      <c r="J40" s="33"/>
      <c r="K40" s="4"/>
      <c r="M40" s="4" t="s">
        <v>37</v>
      </c>
      <c r="N40" s="19">
        <f>E11</f>
        <v>27850</v>
      </c>
      <c r="O40" s="19">
        <f>IF(O18&gt;50000,O18*Assumptions!$D$60,0)</f>
        <v>0</v>
      </c>
      <c r="P40" s="19">
        <f>E41</f>
        <v>100000</v>
      </c>
      <c r="Q40" s="19">
        <f>E42</f>
        <v>200000</v>
      </c>
      <c r="R40" s="19">
        <f>E43</f>
        <v>300000</v>
      </c>
    </row>
    <row r="41" spans="1:18" x14ac:dyDescent="0.2">
      <c r="A41" s="9"/>
      <c r="B41" s="9"/>
      <c r="C41" s="9"/>
      <c r="D41" s="96">
        <v>4</v>
      </c>
      <c r="E41" s="123">
        <f>Assumptions!D62</f>
        <v>100000</v>
      </c>
      <c r="G41" s="95">
        <f>E41/D41</f>
        <v>25000</v>
      </c>
      <c r="H41" s="95">
        <f>G41</f>
        <v>25000</v>
      </c>
      <c r="I41" s="97">
        <f t="shared" ref="I41" si="23">H41</f>
        <v>25000</v>
      </c>
      <c r="J41" s="33"/>
      <c r="K41" s="4"/>
      <c r="M41" s="4" t="s">
        <v>39</v>
      </c>
      <c r="N41" s="21">
        <f>E57</f>
        <v>0</v>
      </c>
      <c r="O41" s="21">
        <f>F57</f>
        <v>0</v>
      </c>
      <c r="P41" s="21">
        <v>0</v>
      </c>
      <c r="Q41" s="21">
        <v>0</v>
      </c>
      <c r="R41" s="21">
        <f>I57</f>
        <v>0</v>
      </c>
    </row>
    <row r="42" spans="1:18" x14ac:dyDescent="0.2">
      <c r="A42" s="9"/>
      <c r="B42" s="9"/>
      <c r="C42" s="9"/>
      <c r="D42" s="96">
        <v>4</v>
      </c>
      <c r="E42" s="123">
        <f>Assumptions!E62</f>
        <v>200000</v>
      </c>
      <c r="H42" s="95">
        <f>E42/D42</f>
        <v>50000</v>
      </c>
      <c r="I42" s="97">
        <f>H42</f>
        <v>50000</v>
      </c>
      <c r="J42" s="33"/>
      <c r="K42" s="4"/>
      <c r="L42" s="4"/>
      <c r="M42" s="9" t="s">
        <v>36</v>
      </c>
      <c r="N42" s="19">
        <f>-SUM(N40:N41)</f>
        <v>-27850</v>
      </c>
      <c r="O42" s="19">
        <f t="shared" ref="O42:Q42" si="24">-SUM(O40:O41)</f>
        <v>0</v>
      </c>
      <c r="P42" s="19">
        <f t="shared" si="24"/>
        <v>-100000</v>
      </c>
      <c r="Q42" s="19">
        <f t="shared" si="24"/>
        <v>-200000</v>
      </c>
      <c r="R42" s="19">
        <f>-SUM(R40:R41)</f>
        <v>-300000</v>
      </c>
    </row>
    <row r="43" spans="1:18" x14ac:dyDescent="0.2">
      <c r="A43" s="9"/>
      <c r="B43" s="9"/>
      <c r="C43" s="9"/>
      <c r="D43" s="96">
        <v>4</v>
      </c>
      <c r="E43" s="123">
        <f>Assumptions!F62</f>
        <v>300000</v>
      </c>
      <c r="I43" s="97">
        <f>E43/D43</f>
        <v>75000</v>
      </c>
      <c r="J43" s="33"/>
      <c r="K43" s="4"/>
      <c r="L43" s="4"/>
      <c r="M43" s="9"/>
      <c r="N43" s="19"/>
      <c r="O43" s="19"/>
      <c r="P43" s="19"/>
      <c r="Q43" s="19"/>
      <c r="R43" s="19"/>
    </row>
    <row r="44" spans="1:18" x14ac:dyDescent="0.2">
      <c r="A44" s="9"/>
      <c r="B44" s="9"/>
      <c r="C44" s="9"/>
      <c r="D44" s="98"/>
      <c r="E44" s="121" t="s">
        <v>74</v>
      </c>
      <c r="F44" s="119">
        <f>SUM(F40:F43)</f>
        <v>6962.5</v>
      </c>
      <c r="G44" s="119">
        <f t="shared" ref="G44:I44" si="25">SUM(G40:G43)</f>
        <v>31962.5</v>
      </c>
      <c r="H44" s="119">
        <f t="shared" si="25"/>
        <v>81962.5</v>
      </c>
      <c r="I44" s="120">
        <f t="shared" si="25"/>
        <v>156962.5</v>
      </c>
      <c r="J44" s="33"/>
      <c r="L44" s="9" t="s">
        <v>40</v>
      </c>
      <c r="M44" s="4"/>
      <c r="N44" s="19"/>
      <c r="O44" s="19"/>
      <c r="P44" s="19"/>
      <c r="Q44" s="19"/>
      <c r="R44" s="19"/>
    </row>
    <row r="45" spans="1:18" x14ac:dyDescent="0.2">
      <c r="A45" s="9"/>
      <c r="B45" s="9"/>
      <c r="C45" s="9"/>
      <c r="D45" s="9"/>
      <c r="E45" s="27"/>
      <c r="F45" s="30"/>
      <c r="G45" s="30"/>
      <c r="H45" s="30"/>
      <c r="I45" s="30"/>
      <c r="J45" s="33"/>
      <c r="K45" s="4"/>
      <c r="L45" s="4"/>
      <c r="M45" s="4" t="s">
        <v>41</v>
      </c>
      <c r="N45" s="19">
        <f>Assumptions!D12</f>
        <v>400000</v>
      </c>
      <c r="O45" s="19">
        <f>F51</f>
        <v>0</v>
      </c>
      <c r="P45" s="19">
        <f>G51</f>
        <v>0</v>
      </c>
      <c r="Q45" s="19">
        <f>H51</f>
        <v>0</v>
      </c>
      <c r="R45" s="19">
        <f>I51</f>
        <v>0</v>
      </c>
    </row>
    <row r="46" spans="1:18" x14ac:dyDescent="0.2">
      <c r="A46" s="9"/>
      <c r="B46" s="9"/>
      <c r="C46" s="9"/>
      <c r="D46" s="9"/>
      <c r="E46" s="27"/>
      <c r="F46" s="29"/>
      <c r="G46" s="29"/>
      <c r="H46" s="29"/>
      <c r="I46" s="29"/>
      <c r="J46" s="33"/>
      <c r="L46" s="4"/>
      <c r="M46" s="4" t="s">
        <v>55</v>
      </c>
      <c r="N46" s="19">
        <f>Assumptions!D11</f>
        <v>200000</v>
      </c>
      <c r="O46" s="19">
        <f>F50</f>
        <v>0</v>
      </c>
      <c r="P46" s="19">
        <f>G50</f>
        <v>0</v>
      </c>
      <c r="Q46" s="19">
        <f>H50</f>
        <v>0</v>
      </c>
      <c r="R46" s="19">
        <f>I50</f>
        <v>0</v>
      </c>
    </row>
    <row r="47" spans="1:18" x14ac:dyDescent="0.2">
      <c r="A47" s="9"/>
      <c r="B47" s="9"/>
      <c r="C47" s="9"/>
      <c r="D47" s="9"/>
      <c r="E47" s="27"/>
      <c r="F47" s="29"/>
      <c r="G47" s="29"/>
      <c r="H47" s="29"/>
      <c r="I47" s="29"/>
      <c r="J47" s="33"/>
      <c r="K47" s="4"/>
      <c r="M47" s="4" t="s">
        <v>42</v>
      </c>
      <c r="N47" s="21">
        <f>E58</f>
        <v>0</v>
      </c>
      <c r="O47" s="21">
        <f>IF(O18&gt;50000,-O18*Assumptions!$D$63,0)</f>
        <v>0</v>
      </c>
      <c r="P47" s="21">
        <f>-Assumptions!D63</f>
        <v>-200000</v>
      </c>
      <c r="Q47" s="21">
        <f>-Assumptions!E63</f>
        <v>-500000</v>
      </c>
      <c r="R47" s="21">
        <f>-Assumptions!F63</f>
        <v>-700000</v>
      </c>
    </row>
    <row r="48" spans="1:18" x14ac:dyDescent="0.2">
      <c r="A48" s="9"/>
      <c r="B48" s="9"/>
      <c r="C48" s="9"/>
      <c r="D48" s="92"/>
      <c r="E48" s="27"/>
      <c r="F48" s="29"/>
      <c r="G48" s="29"/>
      <c r="H48" s="29"/>
      <c r="I48" s="29"/>
      <c r="J48" s="33"/>
      <c r="K48" s="4"/>
      <c r="L48" s="4"/>
      <c r="M48" s="9" t="s">
        <v>43</v>
      </c>
      <c r="N48" s="19">
        <f>SUM(N45:N47)</f>
        <v>600000</v>
      </c>
      <c r="O48" s="19">
        <f t="shared" ref="O48:R48" si="26">SUM(O45:O47)</f>
        <v>0</v>
      </c>
      <c r="P48" s="19">
        <f t="shared" si="26"/>
        <v>-200000</v>
      </c>
      <c r="Q48" s="19">
        <f t="shared" si="26"/>
        <v>-500000</v>
      </c>
      <c r="R48" s="19">
        <f t="shared" si="26"/>
        <v>-700000</v>
      </c>
    </row>
    <row r="49" spans="1:18" x14ac:dyDescent="0.2">
      <c r="A49" s="9"/>
      <c r="B49" s="9"/>
      <c r="C49" s="9"/>
      <c r="D49" s="92"/>
      <c r="E49" s="27"/>
      <c r="F49" s="29"/>
      <c r="G49" s="29"/>
      <c r="H49" s="29"/>
      <c r="I49" s="29"/>
      <c r="J49" s="33"/>
      <c r="K49" s="4"/>
      <c r="L49" s="4"/>
      <c r="M49" s="9"/>
      <c r="N49" s="19"/>
      <c r="O49" s="19"/>
      <c r="P49" s="19"/>
      <c r="Q49" s="19"/>
      <c r="R49" s="19"/>
    </row>
    <row r="50" spans="1:18" ht="16" thickBot="1" x14ac:dyDescent="0.25">
      <c r="A50" s="9"/>
      <c r="B50" s="9"/>
      <c r="C50" s="9"/>
      <c r="D50" s="128"/>
      <c r="E50" s="31"/>
      <c r="F50" s="31"/>
      <c r="G50" s="31"/>
      <c r="H50" s="31"/>
      <c r="I50" s="31"/>
      <c r="J50" s="33"/>
      <c r="K50" s="4"/>
      <c r="L50" s="9" t="s">
        <v>44</v>
      </c>
      <c r="M50" s="4"/>
      <c r="N50" s="22">
        <f>N48+N42+N37</f>
        <v>572150</v>
      </c>
      <c r="O50" s="22">
        <f t="shared" ref="O50:Q50" si="27">O48+O42+O37</f>
        <v>-453171</v>
      </c>
      <c r="P50" s="22">
        <f t="shared" si="27"/>
        <v>836700.05624999991</v>
      </c>
      <c r="Q50" s="22">
        <f t="shared" si="27"/>
        <v>1096752.7562500001</v>
      </c>
      <c r="R50" s="22">
        <f>R48+R42+R37</f>
        <v>1754193.8687500013</v>
      </c>
    </row>
    <row r="51" spans="1:18" ht="16" thickTop="1" x14ac:dyDescent="0.2">
      <c r="A51" s="4"/>
      <c r="B51" s="9"/>
      <c r="C51" s="9"/>
      <c r="D51" s="9"/>
      <c r="E51" s="31"/>
      <c r="F51" s="31"/>
      <c r="G51" s="31"/>
      <c r="H51" s="31"/>
      <c r="I51" s="31"/>
      <c r="J51" s="33"/>
      <c r="K51" s="4"/>
      <c r="L51" s="9" t="s">
        <v>28</v>
      </c>
      <c r="M51" s="4"/>
      <c r="N51" s="4"/>
      <c r="O51" s="4"/>
      <c r="P51" s="4"/>
      <c r="Q51" s="4"/>
      <c r="R51" s="4"/>
    </row>
    <row r="52" spans="1:18" x14ac:dyDescent="0.2">
      <c r="A52" s="4"/>
      <c r="B52" s="9"/>
      <c r="C52" s="9"/>
      <c r="D52" s="9"/>
      <c r="E52" s="31"/>
      <c r="F52" s="31"/>
      <c r="G52" s="31"/>
      <c r="H52" s="31"/>
      <c r="I52" s="31"/>
      <c r="J52" s="33"/>
      <c r="K52" s="4"/>
      <c r="L52" s="9" t="s">
        <v>18</v>
      </c>
      <c r="M52" s="4"/>
      <c r="N52" s="4"/>
      <c r="O52" s="19">
        <f>O24</f>
        <v>-495901.5</v>
      </c>
      <c r="P52" s="19">
        <f>P24</f>
        <v>842687.5</v>
      </c>
      <c r="Q52" s="19">
        <f t="shared" ref="Q52:R52" si="28">Q24</f>
        <v>1820337.5</v>
      </c>
      <c r="R52" s="19">
        <f t="shared" si="28"/>
        <v>2976162.5000000019</v>
      </c>
    </row>
    <row r="53" spans="1:18" x14ac:dyDescent="0.2">
      <c r="A53" s="4"/>
      <c r="B53" s="9"/>
      <c r="C53" s="9"/>
      <c r="D53" s="9"/>
      <c r="E53" s="27"/>
      <c r="F53" s="31"/>
      <c r="G53" s="31"/>
      <c r="H53" s="31"/>
      <c r="I53" s="31"/>
      <c r="J53" s="33"/>
      <c r="K53" s="4"/>
      <c r="L53" s="4"/>
      <c r="M53" s="4" t="s">
        <v>45</v>
      </c>
      <c r="N53" s="4"/>
      <c r="O53" s="4"/>
      <c r="P53" s="14">
        <f>IF(O54&lt;0,-P52*0.8,0)</f>
        <v>-674150</v>
      </c>
      <c r="Q53" s="14">
        <f t="shared" ref="Q53:R53" si="29">IF(P54&lt;0,-Q52*0.8,0)</f>
        <v>0</v>
      </c>
      <c r="R53" s="14">
        <f t="shared" si="29"/>
        <v>0</v>
      </c>
    </row>
    <row r="54" spans="1:18" x14ac:dyDescent="0.2">
      <c r="A54" s="4"/>
      <c r="B54" s="9"/>
      <c r="C54" s="9"/>
      <c r="D54" s="9"/>
      <c r="E54" s="27"/>
      <c r="F54" s="27"/>
      <c r="G54" s="27"/>
      <c r="H54" s="27"/>
      <c r="I54" s="27"/>
      <c r="J54" s="33"/>
      <c r="K54" s="4"/>
      <c r="L54" s="4"/>
      <c r="M54" s="4" t="s">
        <v>46</v>
      </c>
      <c r="N54" s="23"/>
      <c r="O54" s="21">
        <f>O52</f>
        <v>-495901.5</v>
      </c>
      <c r="P54" s="26">
        <f>IF(O54-P53&gt;0,0,O54-P53)</f>
        <v>0</v>
      </c>
      <c r="Q54" s="26">
        <f t="shared" ref="Q54:R54" si="30">IF(P54-Q53&gt;0,0,P54-Q53)</f>
        <v>0</v>
      </c>
      <c r="R54" s="26">
        <f t="shared" si="30"/>
        <v>0</v>
      </c>
    </row>
    <row r="55" spans="1:18" x14ac:dyDescent="0.2">
      <c r="A55" s="4"/>
      <c r="B55" s="4"/>
      <c r="C55" s="4"/>
      <c r="D55" s="9"/>
      <c r="E55" s="31"/>
      <c r="F55" s="31"/>
      <c r="G55" s="31"/>
      <c r="H55" s="31"/>
      <c r="I55" s="31"/>
      <c r="J55" s="33"/>
      <c r="K55" s="4"/>
      <c r="L55" s="9" t="s">
        <v>47</v>
      </c>
      <c r="M55" s="4"/>
      <c r="N55" s="4"/>
      <c r="O55" s="19">
        <f>IF(O52&gt;0,O52+O53,0)</f>
        <v>0</v>
      </c>
      <c r="P55" s="19">
        <f>IF(P52&gt;0,P52+P53,0)</f>
        <v>168537.5</v>
      </c>
      <c r="Q55" s="19">
        <f t="shared" ref="Q55:R55" si="31">IF(Q52&gt;0,Q52+Q53,0)</f>
        <v>1820337.5</v>
      </c>
      <c r="R55" s="19">
        <f t="shared" si="31"/>
        <v>2976162.5000000019</v>
      </c>
    </row>
    <row r="56" spans="1:18" x14ac:dyDescent="0.2">
      <c r="A56" s="4"/>
      <c r="B56" s="4"/>
      <c r="C56" s="4"/>
      <c r="D56" s="9"/>
      <c r="E56" s="31"/>
      <c r="F56" s="28"/>
      <c r="G56" s="28"/>
      <c r="H56" s="28"/>
      <c r="I56" s="28"/>
      <c r="J56" s="33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B57" s="4"/>
      <c r="C57" s="4"/>
      <c r="D57" s="9"/>
      <c r="E57" s="31"/>
      <c r="F57" s="32"/>
      <c r="G57" s="32"/>
      <c r="H57" s="32"/>
      <c r="I57" s="32"/>
      <c r="J57" s="33"/>
      <c r="K57" s="4"/>
    </row>
    <row r="58" spans="1:18" x14ac:dyDescent="0.2">
      <c r="A58" s="4"/>
      <c r="B58" s="4"/>
      <c r="C58" s="4"/>
      <c r="D58" s="9"/>
      <c r="E58" s="31"/>
      <c r="F58" s="31"/>
      <c r="G58" s="31"/>
      <c r="H58" s="31"/>
      <c r="I58" s="31"/>
      <c r="J58" s="33"/>
      <c r="K58" s="4"/>
      <c r="L58" s="4" t="s">
        <v>54</v>
      </c>
      <c r="M58" s="4"/>
      <c r="N58" s="4"/>
      <c r="O58" s="19">
        <f>N50+O50</f>
        <v>118979</v>
      </c>
      <c r="P58" s="19">
        <f>O58+P50</f>
        <v>955679.05624999991</v>
      </c>
      <c r="Q58" s="19">
        <f t="shared" ref="Q58" si="32">P58+Q50</f>
        <v>2052431.8125</v>
      </c>
      <c r="R58" s="19">
        <f>Q58+R50</f>
        <v>3806625.6812500013</v>
      </c>
    </row>
    <row r="59" spans="1:18" x14ac:dyDescent="0.2">
      <c r="A59" s="1"/>
      <c r="B59" s="2"/>
      <c r="C59" s="2"/>
      <c r="D59" s="3"/>
      <c r="E59" s="5"/>
      <c r="H59" s="95"/>
      <c r="J59" s="33"/>
      <c r="K59" s="4"/>
      <c r="L59" s="9" t="s">
        <v>48</v>
      </c>
      <c r="M59" s="4"/>
      <c r="N59" s="4"/>
      <c r="O59" s="20">
        <f>F53</f>
        <v>0</v>
      </c>
      <c r="P59" s="20">
        <f>G53</f>
        <v>0</v>
      </c>
      <c r="Q59" s="20">
        <f>H53</f>
        <v>0</v>
      </c>
      <c r="R59" s="20">
        <f>I53</f>
        <v>0</v>
      </c>
    </row>
    <row r="60" spans="1:18" ht="16" x14ac:dyDescent="0.2">
      <c r="A60" s="1"/>
      <c r="B60" s="124"/>
      <c r="C60" s="124"/>
      <c r="D60" s="124"/>
      <c r="E60" s="124"/>
      <c r="F60" s="124"/>
      <c r="G60" s="124"/>
      <c r="K60" s="4"/>
      <c r="L60" s="10" t="s">
        <v>53</v>
      </c>
      <c r="M60" s="9"/>
      <c r="N60" s="23"/>
      <c r="O60" s="26">
        <f>-IF(O58&lt;O59,O58-O59,0)</f>
        <v>0</v>
      </c>
      <c r="P60" s="26">
        <f t="shared" ref="P60:R60" si="33">-IF(P58&lt;P59,P58-P59,0)</f>
        <v>0</v>
      </c>
      <c r="Q60" s="26">
        <f t="shared" si="33"/>
        <v>0</v>
      </c>
      <c r="R60" s="26">
        <f t="shared" si="33"/>
        <v>0</v>
      </c>
    </row>
    <row r="61" spans="1:18" ht="16" x14ac:dyDescent="0.2">
      <c r="A61" s="1"/>
      <c r="D61" s="35"/>
      <c r="E61" s="35"/>
      <c r="F61" s="35"/>
      <c r="G61" s="35"/>
      <c r="H61" s="124"/>
      <c r="K61" s="4"/>
      <c r="L61" s="4" t="s">
        <v>56</v>
      </c>
      <c r="M61" s="9"/>
      <c r="N61" s="4"/>
      <c r="O61" s="14">
        <f>IF(O58&gt;O59,O58,O58+O60)</f>
        <v>118979</v>
      </c>
      <c r="P61" s="14">
        <f t="shared" ref="P61:R61" si="34">IF(P58&gt;P59,P58,P58+P60)</f>
        <v>955679.05624999991</v>
      </c>
      <c r="Q61" s="14">
        <f t="shared" si="34"/>
        <v>2052431.8125</v>
      </c>
      <c r="R61" s="14">
        <f t="shared" si="34"/>
        <v>3806625.6812500013</v>
      </c>
    </row>
    <row r="62" spans="1:18" x14ac:dyDescent="0.2">
      <c r="A62" s="1"/>
      <c r="D62" s="36"/>
      <c r="E62" s="37"/>
      <c r="F62" s="37"/>
      <c r="G62" s="37"/>
      <c r="K62" s="4"/>
      <c r="L62" s="10"/>
      <c r="M62" s="9"/>
      <c r="N62" s="4"/>
      <c r="O62" s="15"/>
      <c r="P62" s="15"/>
      <c r="Q62" s="15"/>
      <c r="R62" s="15"/>
    </row>
    <row r="63" spans="1:18" x14ac:dyDescent="0.2">
      <c r="A63" s="2"/>
      <c r="D63" s="36"/>
      <c r="E63" s="37"/>
      <c r="F63" s="37"/>
      <c r="G63" s="37"/>
      <c r="K63" s="4"/>
      <c r="L63" s="10"/>
    </row>
    <row r="64" spans="1:18" x14ac:dyDescent="0.2">
      <c r="A64" s="2"/>
      <c r="D64" s="36"/>
      <c r="E64" s="37"/>
      <c r="F64" s="37"/>
      <c r="G64" s="37"/>
      <c r="K64" s="4"/>
      <c r="L64" s="9" t="s">
        <v>129</v>
      </c>
      <c r="N64" s="23"/>
      <c r="O64" s="129">
        <f>O18*(1-Assumptions!D49)+O15+((F9-F21)-(E9-E21))-(F13-E13+F12)</f>
        <v>-876381.4622500001</v>
      </c>
      <c r="P64" s="129">
        <f>P18*(1-Assumptions!E49)+P15-((G9-G21)-(F9-F21))-(G13-F13+G12)</f>
        <v>207566.94375000009</v>
      </c>
      <c r="Q64" s="129">
        <f>Q18*(1-Assumptions!F49)+Q15-((H9-H21)-(G9-G21))-(H13-G13+H12)</f>
        <v>934557.24374999991</v>
      </c>
      <c r="R64" s="129">
        <f>R18*(1-Assumptions!G49)+R15-((I9-I21)-(H9-H21))-(I13-H13+I12)</f>
        <v>1433338.0062500006</v>
      </c>
    </row>
    <row r="65" spans="1:18" x14ac:dyDescent="0.2">
      <c r="A65" s="2"/>
      <c r="D65" s="36"/>
      <c r="E65" s="37"/>
      <c r="F65" s="37"/>
      <c r="G65" s="37"/>
      <c r="K65" s="4"/>
      <c r="L65" s="10"/>
      <c r="M65" s="9"/>
      <c r="N65" s="4"/>
      <c r="O65" s="15"/>
      <c r="P65" s="15"/>
      <c r="Q65" s="15"/>
      <c r="R65" s="15"/>
    </row>
    <row r="66" spans="1:18" x14ac:dyDescent="0.2">
      <c r="A66" s="2"/>
      <c r="E66" s="37"/>
      <c r="F66" s="37"/>
      <c r="G66" s="37"/>
      <c r="L66" s="11"/>
      <c r="M66" s="9"/>
      <c r="N66" s="4"/>
      <c r="O66" s="15"/>
      <c r="Q66" s="15"/>
      <c r="R66" s="15"/>
    </row>
    <row r="67" spans="1:18" x14ac:dyDescent="0.2">
      <c r="A67" s="2"/>
      <c r="L67" s="6"/>
      <c r="M67" s="3"/>
      <c r="N67" s="1"/>
      <c r="O67" s="7"/>
      <c r="P67" s="7"/>
      <c r="Q67" s="7"/>
      <c r="R67" s="7"/>
    </row>
    <row r="68" spans="1:18" x14ac:dyDescent="0.2">
      <c r="F68" s="38"/>
      <c r="M68" s="127"/>
      <c r="N68" s="2"/>
      <c r="O68" s="7"/>
      <c r="P68" s="7"/>
      <c r="Q68" s="7"/>
      <c r="R68" s="7"/>
    </row>
    <row r="69" spans="1:18" x14ac:dyDescent="0.2">
      <c r="F69" s="39"/>
      <c r="M69" s="3"/>
      <c r="N69" s="2"/>
      <c r="O69" s="7"/>
      <c r="P69" s="7"/>
      <c r="Q69" s="7"/>
      <c r="R69" s="7"/>
    </row>
    <row r="70" spans="1:18" x14ac:dyDescent="0.2">
      <c r="F70" s="39"/>
      <c r="K70" s="2"/>
      <c r="L70" s="2"/>
      <c r="M70" s="3"/>
      <c r="N70" s="2"/>
      <c r="O70" s="7"/>
      <c r="P70" s="7"/>
      <c r="Q70" s="7"/>
      <c r="R70" s="7"/>
    </row>
    <row r="71" spans="1:18" x14ac:dyDescent="0.2">
      <c r="K71" s="2"/>
      <c r="L71" s="2"/>
      <c r="M71" s="3"/>
      <c r="N71" s="7"/>
      <c r="O71" s="7"/>
      <c r="P71" s="7"/>
      <c r="Q71" s="7"/>
      <c r="R71" s="7"/>
    </row>
    <row r="72" spans="1:18" x14ac:dyDescent="0.2">
      <c r="F72" s="39"/>
      <c r="K72" s="2"/>
      <c r="L72" s="2"/>
      <c r="M72" s="3"/>
      <c r="N72" s="8"/>
      <c r="O72" s="7"/>
      <c r="P72" s="7"/>
      <c r="Q72" s="7"/>
      <c r="R72" s="7"/>
    </row>
    <row r="73" spans="1:18" x14ac:dyDescent="0.2">
      <c r="K73" s="2"/>
      <c r="L73" s="2"/>
      <c r="M73" s="2"/>
      <c r="N73" s="2"/>
      <c r="O73" s="2"/>
      <c r="P73" s="2"/>
      <c r="Q73" s="2"/>
      <c r="R73" s="2"/>
    </row>
    <row r="74" spans="1:18" x14ac:dyDescent="0.2">
      <c r="F74" s="36"/>
      <c r="K74" s="2"/>
      <c r="L74" s="2"/>
      <c r="M74" s="2"/>
      <c r="N74" s="2"/>
      <c r="O74" s="2"/>
      <c r="P74" s="2"/>
      <c r="Q74" s="2"/>
      <c r="R74" s="2"/>
    </row>
    <row r="75" spans="1:18" x14ac:dyDescent="0.2">
      <c r="F75" s="36"/>
      <c r="K75" s="2"/>
      <c r="L75" s="2"/>
      <c r="M75" s="2"/>
      <c r="N75" s="2"/>
      <c r="O75" s="2"/>
      <c r="P75" s="2"/>
      <c r="Q75" s="2"/>
      <c r="R75" s="2"/>
    </row>
    <row r="77" spans="1:18" x14ac:dyDescent="0.2">
      <c r="F77" s="39"/>
    </row>
    <row r="78" spans="1:18" x14ac:dyDescent="0.2">
      <c r="F78" s="39"/>
    </row>
    <row r="79" spans="1:18" x14ac:dyDescent="0.2">
      <c r="F79" s="39"/>
    </row>
    <row r="80" spans="1:18" x14ac:dyDescent="0.2">
      <c r="F80" s="38"/>
    </row>
    <row r="81" spans="6:6" x14ac:dyDescent="0.2">
      <c r="F81" s="40"/>
    </row>
    <row r="82" spans="6:6" x14ac:dyDescent="0.2">
      <c r="F82" s="40"/>
    </row>
    <row r="83" spans="6:6" x14ac:dyDescent="0.2">
      <c r="F83" s="40"/>
    </row>
    <row r="85" spans="6:6" x14ac:dyDescent="0.2">
      <c r="F85" s="41"/>
    </row>
    <row r="86" spans="6:6" x14ac:dyDescent="0.2">
      <c r="F86" s="41"/>
    </row>
    <row r="87" spans="6:6" x14ac:dyDescent="0.2">
      <c r="F87" s="39"/>
    </row>
    <row r="88" spans="6:6" ht="16" x14ac:dyDescent="0.2">
      <c r="F88" s="42"/>
    </row>
    <row r="89" spans="6:6" x14ac:dyDescent="0.2">
      <c r="F89" s="36"/>
    </row>
    <row r="90" spans="6:6" x14ac:dyDescent="0.2">
      <c r="F90" s="36"/>
    </row>
    <row r="91" spans="6:6" x14ac:dyDescent="0.2">
      <c r="F91" s="39"/>
    </row>
    <row r="93" spans="6:6" ht="16" x14ac:dyDescent="0.2">
      <c r="F93" s="43"/>
    </row>
    <row r="95" spans="6:6" ht="16" x14ac:dyDescent="0.2">
      <c r="F95" s="43"/>
    </row>
    <row r="96" spans="6:6" x14ac:dyDescent="0.2">
      <c r="F96" s="34"/>
    </row>
    <row r="97" spans="5:8" ht="16" x14ac:dyDescent="0.2">
      <c r="F97" s="44"/>
    </row>
    <row r="100" spans="5:8" x14ac:dyDescent="0.2">
      <c r="F100" s="38"/>
      <c r="G100" s="38"/>
      <c r="H100" s="38"/>
    </row>
    <row r="101" spans="5:8" x14ac:dyDescent="0.2">
      <c r="F101" s="38"/>
      <c r="G101" s="38"/>
      <c r="H101" s="38"/>
    </row>
    <row r="102" spans="5:8" x14ac:dyDescent="0.2">
      <c r="F102" s="38"/>
      <c r="G102" s="38"/>
      <c r="H102" s="38"/>
    </row>
    <row r="104" spans="5:8" x14ac:dyDescent="0.2">
      <c r="F104" s="38"/>
    </row>
    <row r="107" spans="5:8" x14ac:dyDescent="0.2">
      <c r="E107" s="94"/>
      <c r="F107" s="39"/>
    </row>
  </sheetData>
  <mergeCells count="1">
    <mergeCell ref="D38:I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22F7-5F89-4195-88B6-F724FB034E5F}">
  <dimension ref="B3:Q30"/>
  <sheetViews>
    <sheetView zoomScale="125" workbookViewId="0">
      <selection activeCell="G7" sqref="G7"/>
    </sheetView>
  </sheetViews>
  <sheetFormatPr baseColWidth="10" defaultColWidth="8.83203125" defaultRowHeight="15" x14ac:dyDescent="0.2"/>
  <cols>
    <col min="4" max="4" width="8.83203125" customWidth="1"/>
    <col min="5" max="5" width="10.1640625" customWidth="1"/>
    <col min="6" max="6" width="9.83203125" customWidth="1"/>
    <col min="7" max="7" width="10.5" customWidth="1"/>
    <col min="9" max="9" width="10.6640625" bestFit="1" customWidth="1"/>
    <col min="10" max="10" width="8.83203125" customWidth="1"/>
    <col min="11" max="11" width="15.83203125" customWidth="1"/>
    <col min="16" max="17" width="11.5" bestFit="1" customWidth="1"/>
  </cols>
  <sheetData>
    <row r="3" spans="2:17" ht="16" customHeight="1" x14ac:dyDescent="0.2">
      <c r="B3" s="163" t="s">
        <v>103</v>
      </c>
      <c r="C3" s="164"/>
      <c r="D3" s="164"/>
      <c r="E3" s="164"/>
      <c r="F3" s="164"/>
      <c r="G3" s="164"/>
      <c r="H3" s="164"/>
      <c r="I3" s="165"/>
      <c r="J3" s="80"/>
      <c r="K3" s="80"/>
    </row>
    <row r="4" spans="2:17" ht="16" x14ac:dyDescent="0.2">
      <c r="B4" s="45"/>
      <c r="C4" s="62"/>
      <c r="D4" s="162" t="s">
        <v>102</v>
      </c>
      <c r="E4" s="162"/>
      <c r="F4" s="162"/>
      <c r="G4" s="62"/>
      <c r="H4" s="80"/>
    </row>
    <row r="5" spans="2:17" ht="18" x14ac:dyDescent="0.2">
      <c r="B5" s="64"/>
      <c r="C5" s="73" t="s">
        <v>100</v>
      </c>
      <c r="D5" s="73" t="s">
        <v>99</v>
      </c>
      <c r="E5" s="69" t="s">
        <v>98</v>
      </c>
      <c r="F5" s="79" t="s">
        <v>95</v>
      </c>
      <c r="G5" s="79" t="s">
        <v>97</v>
      </c>
      <c r="H5" s="64"/>
      <c r="I5" s="115" t="s">
        <v>98</v>
      </c>
      <c r="J5" s="106"/>
      <c r="K5" s="106"/>
    </row>
    <row r="6" spans="2:17" ht="15" customHeight="1" x14ac:dyDescent="0.2">
      <c r="B6" s="160" t="s">
        <v>101</v>
      </c>
      <c r="C6" s="73">
        <v>0</v>
      </c>
      <c r="D6" s="73"/>
      <c r="E6" s="69"/>
      <c r="F6" s="79"/>
      <c r="G6" s="79"/>
      <c r="H6" s="64"/>
      <c r="I6" s="78">
        <f>-Assumptions!$D$12</f>
        <v>-400000</v>
      </c>
      <c r="J6" s="107"/>
      <c r="K6" s="108"/>
      <c r="P6" s="95"/>
      <c r="Q6" s="95"/>
    </row>
    <row r="7" spans="2:17" ht="16" x14ac:dyDescent="0.2">
      <c r="B7" s="160"/>
      <c r="C7" s="77">
        <v>1</v>
      </c>
      <c r="D7" s="73">
        <v>1</v>
      </c>
      <c r="E7" s="75">
        <f>'Financial Statements'!O64</f>
        <v>-876381.4622500001</v>
      </c>
      <c r="F7" s="75">
        <f>E7/(1+Assumptions!$D$48)^C7</f>
        <v>-804019.69013761473</v>
      </c>
      <c r="G7" s="76">
        <f>F7</f>
        <v>-804019.69013761473</v>
      </c>
      <c r="H7" s="64"/>
      <c r="I7" s="75">
        <f>E7</f>
        <v>-876381.4622500001</v>
      </c>
      <c r="J7" s="109"/>
      <c r="K7" s="110"/>
    </row>
    <row r="8" spans="2:17" ht="16" x14ac:dyDescent="0.2">
      <c r="B8" s="160"/>
      <c r="C8" s="77">
        <v>2</v>
      </c>
      <c r="D8" s="73">
        <v>2</v>
      </c>
      <c r="E8" s="75">
        <f>'Financial Statements'!P64</f>
        <v>207566.94375000009</v>
      </c>
      <c r="F8" s="75">
        <f>E8/(1+Assumptions!$D$48)^C8</f>
        <v>174704.94381786051</v>
      </c>
      <c r="G8" s="76">
        <f>G7+F8</f>
        <v>-629314.74631975428</v>
      </c>
      <c r="H8" s="64"/>
      <c r="I8" s="75">
        <f t="shared" ref="I8:I10" si="0">E8</f>
        <v>207566.94375000009</v>
      </c>
      <c r="J8" s="109"/>
      <c r="K8" s="110"/>
    </row>
    <row r="9" spans="2:17" ht="16" x14ac:dyDescent="0.2">
      <c r="B9" s="160"/>
      <c r="C9" s="77">
        <v>3</v>
      </c>
      <c r="D9" s="73">
        <v>3</v>
      </c>
      <c r="E9" s="75">
        <f>'Financial Statements'!Q64</f>
        <v>934557.24374999991</v>
      </c>
      <c r="F9" s="75">
        <f>E9/(1+Assumptions!$D$48)^C9</f>
        <v>721649.6647951511</v>
      </c>
      <c r="G9" s="76">
        <f>G8+F9</f>
        <v>92334.918475396815</v>
      </c>
      <c r="H9" s="64"/>
      <c r="I9" s="75">
        <f t="shared" si="0"/>
        <v>934557.24374999991</v>
      </c>
      <c r="J9" s="109"/>
      <c r="K9" s="110"/>
    </row>
    <row r="10" spans="2:17" ht="16" x14ac:dyDescent="0.2">
      <c r="B10" s="160"/>
      <c r="C10" s="77">
        <v>4</v>
      </c>
      <c r="D10" s="73">
        <v>4</v>
      </c>
      <c r="E10" s="75">
        <f>'Financial Statements'!R64</f>
        <v>1433338.0062500006</v>
      </c>
      <c r="F10" s="75">
        <f>E10/(1+Assumptions!$D$48)^C10</f>
        <v>1015412.7796054245</v>
      </c>
      <c r="G10" s="76">
        <f>G9+F10</f>
        <v>1107747.6980808214</v>
      </c>
      <c r="H10" s="64"/>
      <c r="I10" s="75">
        <f t="shared" si="0"/>
        <v>1433338.0062500006</v>
      </c>
      <c r="J10" s="109"/>
      <c r="K10" s="110"/>
    </row>
    <row r="11" spans="2:17" ht="16" x14ac:dyDescent="0.2">
      <c r="B11" s="160"/>
      <c r="C11" s="64"/>
      <c r="D11" s="73"/>
      <c r="E11" s="72"/>
      <c r="F11" s="72"/>
      <c r="G11" s="64"/>
      <c r="H11" s="64"/>
      <c r="I11" s="71"/>
      <c r="J11" s="111"/>
      <c r="K11" s="111"/>
    </row>
    <row r="12" spans="2:17" ht="17" x14ac:dyDescent="0.25">
      <c r="B12" s="160"/>
      <c r="C12" s="64"/>
      <c r="D12" s="64"/>
      <c r="E12" s="64"/>
      <c r="F12" s="63" t="s">
        <v>93</v>
      </c>
      <c r="G12" s="67">
        <f>G10</f>
        <v>1107747.6980808214</v>
      </c>
      <c r="H12" s="64"/>
      <c r="I12" s="64"/>
      <c r="J12" s="112"/>
      <c r="K12" s="83"/>
    </row>
    <row r="13" spans="2:17" ht="16" x14ac:dyDescent="0.2">
      <c r="B13" s="160"/>
      <c r="C13" s="64"/>
      <c r="D13" s="64"/>
      <c r="E13" s="64"/>
      <c r="F13" s="63" t="s">
        <v>94</v>
      </c>
      <c r="G13" s="68">
        <f>NPV(Assumptions!D48,I7:I10)+I6</f>
        <v>707747.69808082143</v>
      </c>
      <c r="H13" s="64"/>
      <c r="I13" s="64"/>
    </row>
    <row r="14" spans="2:17" ht="16" x14ac:dyDescent="0.2">
      <c r="B14" s="160"/>
      <c r="C14" s="64"/>
      <c r="D14" s="64"/>
      <c r="E14" s="64"/>
      <c r="F14" s="63" t="s">
        <v>92</v>
      </c>
      <c r="G14" s="66">
        <f>IRR(I6:I10)</f>
        <v>0.28926103361904287</v>
      </c>
      <c r="H14" s="64"/>
      <c r="I14" s="64"/>
      <c r="J14" s="113"/>
      <c r="K14" s="110"/>
    </row>
    <row r="15" spans="2:17" ht="16" x14ac:dyDescent="0.2">
      <c r="B15" s="160"/>
      <c r="C15" s="64"/>
      <c r="D15" s="64"/>
      <c r="E15" s="64"/>
      <c r="F15" s="64"/>
      <c r="G15" s="67"/>
      <c r="H15" s="64"/>
      <c r="I15" s="64"/>
    </row>
    <row r="16" spans="2:17" ht="16" x14ac:dyDescent="0.2">
      <c r="B16" s="65"/>
      <c r="C16" s="64"/>
      <c r="D16" s="64"/>
      <c r="E16" s="64"/>
      <c r="F16" s="64"/>
      <c r="G16" s="64"/>
      <c r="H16" s="64"/>
      <c r="I16" s="64"/>
      <c r="J16" s="113"/>
      <c r="K16" s="114"/>
    </row>
    <row r="18" spans="2:11" x14ac:dyDescent="0.2">
      <c r="C18" s="162" t="s">
        <v>131</v>
      </c>
      <c r="D18" s="162"/>
      <c r="E18" s="162"/>
      <c r="F18" s="162"/>
      <c r="G18" s="162"/>
    </row>
    <row r="19" spans="2:11" ht="18" x14ac:dyDescent="0.2">
      <c r="B19" s="47"/>
      <c r="C19" s="55" t="s">
        <v>100</v>
      </c>
      <c r="D19" s="55" t="s">
        <v>99</v>
      </c>
      <c r="E19" s="51" t="s">
        <v>98</v>
      </c>
      <c r="F19" s="60" t="s">
        <v>95</v>
      </c>
      <c r="G19" s="60" t="s">
        <v>97</v>
      </c>
      <c r="H19" s="47"/>
      <c r="I19" s="116" t="s">
        <v>98</v>
      </c>
      <c r="J19" s="106"/>
      <c r="K19" s="106"/>
    </row>
    <row r="20" spans="2:11" ht="16" x14ac:dyDescent="0.2">
      <c r="B20" s="161" t="s">
        <v>96</v>
      </c>
      <c r="C20" s="55">
        <v>0</v>
      </c>
      <c r="D20" s="55"/>
      <c r="E20" s="51"/>
      <c r="F20" s="60"/>
      <c r="G20" s="47"/>
      <c r="H20" s="47"/>
      <c r="I20" s="59">
        <f>-Assumptions!D11</f>
        <v>-200000</v>
      </c>
      <c r="J20" s="107"/>
      <c r="K20" s="108"/>
    </row>
    <row r="21" spans="2:11" ht="16" x14ac:dyDescent="0.2">
      <c r="B21" s="161"/>
      <c r="C21" s="58">
        <v>1</v>
      </c>
      <c r="D21" s="55">
        <v>1</v>
      </c>
      <c r="E21" s="56">
        <f>E7</f>
        <v>-876381.4622500001</v>
      </c>
      <c r="F21" s="56">
        <f>E21/(1+Assumptions!$D$51)^C21</f>
        <v>-674139.58634615387</v>
      </c>
      <c r="G21" s="57">
        <f>F21</f>
        <v>-674139.58634615387</v>
      </c>
      <c r="H21" s="47"/>
      <c r="I21" s="56">
        <f>E21</f>
        <v>-876381.4622500001</v>
      </c>
      <c r="J21" s="109"/>
      <c r="K21" s="110"/>
    </row>
    <row r="22" spans="2:11" ht="16" x14ac:dyDescent="0.2">
      <c r="B22" s="161"/>
      <c r="C22" s="58">
        <v>2</v>
      </c>
      <c r="D22" s="55">
        <v>2</v>
      </c>
      <c r="E22" s="56">
        <f>E8</f>
        <v>207566.94375000009</v>
      </c>
      <c r="F22" s="56">
        <f>E22/(1+Assumptions!$D$51)^C22</f>
        <v>122820.67677514798</v>
      </c>
      <c r="G22" s="57">
        <f>G21+F22</f>
        <v>-551318.90957100585</v>
      </c>
      <c r="H22" s="47"/>
      <c r="I22" s="56">
        <f>E22</f>
        <v>207566.94375000009</v>
      </c>
      <c r="J22" s="109"/>
      <c r="K22" s="110"/>
    </row>
    <row r="23" spans="2:11" ht="16" x14ac:dyDescent="0.2">
      <c r="B23" s="161"/>
      <c r="C23" s="58">
        <v>3</v>
      </c>
      <c r="D23" s="55">
        <v>3</v>
      </c>
      <c r="E23" s="56">
        <f>E9</f>
        <v>934557.24374999991</v>
      </c>
      <c r="F23" s="56">
        <f>E23/(1+Assumptions!$D$51)^C23</f>
        <v>425378.80917159747</v>
      </c>
      <c r="G23" s="57">
        <f>G22+F23</f>
        <v>-125940.10039940837</v>
      </c>
      <c r="H23" s="47"/>
      <c r="I23" s="56">
        <f>E23</f>
        <v>934557.24374999991</v>
      </c>
      <c r="J23" s="109"/>
      <c r="K23" s="110"/>
    </row>
    <row r="24" spans="2:11" ht="16" x14ac:dyDescent="0.2">
      <c r="B24" s="161"/>
      <c r="C24" s="58">
        <v>4</v>
      </c>
      <c r="D24" s="55">
        <v>4</v>
      </c>
      <c r="E24" s="56">
        <f>E10</f>
        <v>1433338.0062500006</v>
      </c>
      <c r="F24" s="56">
        <f>E24/(1+Assumptions!$D$51)^C24</f>
        <v>501851.4779769617</v>
      </c>
      <c r="G24" s="57">
        <f>G23+F24</f>
        <v>375911.37757755333</v>
      </c>
      <c r="H24" s="47"/>
      <c r="I24" s="49">
        <f>E24</f>
        <v>1433338.0062500006</v>
      </c>
      <c r="J24" s="109"/>
      <c r="K24" s="110"/>
    </row>
    <row r="25" spans="2:11" ht="16" x14ac:dyDescent="0.2">
      <c r="B25" s="161"/>
      <c r="C25" s="47"/>
      <c r="D25" s="55"/>
      <c r="E25" s="54"/>
      <c r="F25" s="54"/>
      <c r="G25" s="47"/>
      <c r="H25" s="47"/>
      <c r="I25" s="53"/>
      <c r="J25" s="111"/>
      <c r="K25" s="111"/>
    </row>
    <row r="26" spans="2:11" ht="17" x14ac:dyDescent="0.25">
      <c r="B26" s="161"/>
      <c r="C26" s="47"/>
      <c r="D26" s="47"/>
      <c r="E26" s="47"/>
      <c r="F26" s="46" t="s">
        <v>93</v>
      </c>
      <c r="G26" s="49">
        <f>G24</f>
        <v>375911.37757755333</v>
      </c>
      <c r="H26" s="47"/>
      <c r="I26" s="47"/>
      <c r="J26" s="112"/>
      <c r="K26" s="83"/>
    </row>
    <row r="27" spans="2:11" ht="16" x14ac:dyDescent="0.2">
      <c r="B27" s="161"/>
      <c r="C27" s="47"/>
      <c r="D27" s="47"/>
      <c r="E27" s="47"/>
      <c r="F27" s="46" t="s">
        <v>94</v>
      </c>
      <c r="G27" s="50">
        <f>NPV(Assumptions!D51,I21:I24)+I20</f>
        <v>175911.37757755321</v>
      </c>
      <c r="H27" s="47"/>
      <c r="I27" s="47"/>
    </row>
    <row r="28" spans="2:11" ht="16" x14ac:dyDescent="0.2">
      <c r="B28" s="161"/>
      <c r="C28" s="47"/>
      <c r="D28" s="47"/>
      <c r="E28" s="47"/>
      <c r="F28" s="46" t="s">
        <v>92</v>
      </c>
      <c r="G28" s="48">
        <f>IRR(I20:I24)</f>
        <v>0.39577109827587242</v>
      </c>
      <c r="H28" s="47"/>
      <c r="I28" s="47"/>
      <c r="J28" s="113"/>
      <c r="K28" s="110"/>
    </row>
    <row r="29" spans="2:11" ht="16" x14ac:dyDescent="0.2">
      <c r="B29" s="161"/>
      <c r="C29" s="47"/>
      <c r="D29" s="47"/>
      <c r="E29" s="47"/>
      <c r="F29" s="47"/>
      <c r="G29" s="49"/>
      <c r="H29" s="47"/>
      <c r="I29" s="47"/>
    </row>
    <row r="30" spans="2:11" ht="16" x14ac:dyDescent="0.2">
      <c r="B30" s="47"/>
      <c r="C30" s="47"/>
      <c r="D30" s="47"/>
      <c r="E30" s="47"/>
      <c r="F30" s="47"/>
      <c r="G30" s="47"/>
      <c r="H30" s="47"/>
      <c r="I30" s="47"/>
      <c r="J30" s="113"/>
      <c r="K30" s="114"/>
    </row>
  </sheetData>
  <mergeCells count="5">
    <mergeCell ref="B6:B15"/>
    <mergeCell ref="B20:B29"/>
    <mergeCell ref="C18:G18"/>
    <mergeCell ref="D4:F4"/>
    <mergeCell ref="B3:I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69D38D6F00243A0B00E9C580DF17A" ma:contentTypeVersion="13" ma:contentTypeDescription="Create a new document." ma:contentTypeScope="" ma:versionID="76b9f3d90259b5df45e45c26dc4c6678">
  <xsd:schema xmlns:xsd="http://www.w3.org/2001/XMLSchema" xmlns:xs="http://www.w3.org/2001/XMLSchema" xmlns:p="http://schemas.microsoft.com/office/2006/metadata/properties" xmlns:ns3="c2612fa5-ccce-4251-b75c-38c81acd357a" xmlns:ns4="069fdbfb-56fb-4063-9646-a6eb9499c54a" targetNamespace="http://schemas.microsoft.com/office/2006/metadata/properties" ma:root="true" ma:fieldsID="643ccb298913e338398dbfa93aabbcc1" ns3:_="" ns4:_="">
    <xsd:import namespace="c2612fa5-ccce-4251-b75c-38c81acd357a"/>
    <xsd:import namespace="069fdbfb-56fb-4063-9646-a6eb9499c5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12fa5-ccce-4251-b75c-38c81acd3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fdbfb-56fb-4063-9646-a6eb9499c54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8936E-A730-4402-8D46-BE03DB118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071776-B404-4C57-ACAC-A5EEA076C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12fa5-ccce-4251-b75c-38c81acd357a"/>
    <ds:schemaRef ds:uri="069fdbfb-56fb-4063-9646-a6eb9499c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64F1B-043B-482C-8331-E8020CFE3A51}">
  <ds:schemaRefs>
    <ds:schemaRef ds:uri="http://schemas.microsoft.com/office/2006/metadata/properties"/>
    <ds:schemaRef ds:uri="http://schemas.openxmlformats.org/package/2006/metadata/core-properties"/>
    <ds:schemaRef ds:uri="c2612fa5-ccce-4251-b75c-38c81acd357a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069fdbfb-56fb-4063-9646-a6eb9499c54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Financial Statements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Patterson</dc:creator>
  <cp:lastModifiedBy>Hannah Saethereng</cp:lastModifiedBy>
  <dcterms:created xsi:type="dcterms:W3CDTF">2020-03-24T17:17:16Z</dcterms:created>
  <dcterms:modified xsi:type="dcterms:W3CDTF">2023-10-22T23:34:48Z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0x01010054469D38D6F00243A0B00E9C580DF17A</vt:lpwstr>
  </property>
</Properties>
</file>