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e\Studium\Master\Université de Genève\Kurse\Master thesis\Drafts\Analysis drafts\Miscellaneous\"/>
    </mc:Choice>
  </mc:AlternateContent>
  <xr:revisionPtr revIDLastSave="0" documentId="13_ncr:1_{656EBD53-59E8-428C-A8B4-D371B5CA0B83}" xr6:coauthVersionLast="47" xr6:coauthVersionMax="47" xr10:uidLastSave="{00000000-0000-0000-0000-000000000000}"/>
  <bookViews>
    <workbookView xWindow="19090" yWindow="-10870" windowWidth="38620" windowHeight="21220" activeTab="5" xr2:uid="{8027843B-AE8F-422B-8197-31000C3E0078}"/>
  </bookViews>
  <sheets>
    <sheet name="General" sheetId="1" r:id="rId1"/>
    <sheet name="CP 1" sheetId="2" r:id="rId2"/>
    <sheet name="CP 2" sheetId="3" r:id="rId3"/>
    <sheet name="LM" sheetId="4" r:id="rId4"/>
    <sheet name="QR 1" sheetId="5" r:id="rId5"/>
    <sheet name="QR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P26" i="6" s="1"/>
  <c r="K6" i="2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22" i="5"/>
  <c r="Q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H28" i="5"/>
  <c r="G29" i="5"/>
  <c r="I5" i="3"/>
  <c r="M5" i="3"/>
  <c r="L20" i="2"/>
  <c r="O13" i="2" s="1"/>
  <c r="K20" i="2"/>
  <c r="K19" i="2"/>
  <c r="I9" i="3"/>
  <c r="T10" i="3"/>
  <c r="J11" i="3"/>
  <c r="U12" i="3"/>
  <c r="T13" i="3"/>
  <c r="T17" i="3"/>
  <c r="T18" i="3"/>
  <c r="U19" i="3"/>
  <c r="I20" i="3"/>
  <c r="T21" i="3"/>
  <c r="I25" i="3"/>
  <c r="T26" i="3"/>
  <c r="T27" i="3"/>
  <c r="T28" i="3"/>
  <c r="T29" i="3"/>
  <c r="I33" i="3"/>
  <c r="T34" i="3"/>
  <c r="T35" i="3"/>
  <c r="I36" i="3"/>
  <c r="U5" i="3"/>
  <c r="I6" i="3"/>
  <c r="I7" i="3"/>
  <c r="I8" i="3"/>
  <c r="I13" i="3"/>
  <c r="I14" i="3"/>
  <c r="I15" i="3"/>
  <c r="I16" i="3"/>
  <c r="I22" i="3"/>
  <c r="I23" i="3"/>
  <c r="I24" i="3"/>
  <c r="I30" i="3"/>
  <c r="I31" i="3"/>
  <c r="I32" i="3"/>
  <c r="T6" i="3"/>
  <c r="U6" i="3"/>
  <c r="T7" i="3"/>
  <c r="U7" i="3"/>
  <c r="T8" i="3"/>
  <c r="U8" i="3"/>
  <c r="U9" i="3"/>
  <c r="U13" i="3"/>
  <c r="T14" i="3"/>
  <c r="U14" i="3"/>
  <c r="T15" i="3"/>
  <c r="U15" i="3"/>
  <c r="T16" i="3"/>
  <c r="U16" i="3"/>
  <c r="U21" i="3"/>
  <c r="T22" i="3"/>
  <c r="U22" i="3"/>
  <c r="T23" i="3"/>
  <c r="U23" i="3"/>
  <c r="T24" i="3"/>
  <c r="U24" i="3"/>
  <c r="U29" i="3"/>
  <c r="T30" i="3"/>
  <c r="U30" i="3"/>
  <c r="T31" i="3"/>
  <c r="U31" i="3"/>
  <c r="T32" i="3"/>
  <c r="U32" i="3"/>
  <c r="T5" i="3"/>
  <c r="J6" i="3"/>
  <c r="J7" i="3"/>
  <c r="J8" i="3"/>
  <c r="J9" i="3"/>
  <c r="J10" i="3"/>
  <c r="J13" i="3"/>
  <c r="J14" i="3"/>
  <c r="J15" i="3"/>
  <c r="J16" i="3"/>
  <c r="J18" i="3"/>
  <c r="J21" i="3"/>
  <c r="J22" i="3"/>
  <c r="J23" i="3"/>
  <c r="J24" i="3"/>
  <c r="J26" i="3"/>
  <c r="J29" i="3"/>
  <c r="J30" i="3"/>
  <c r="J31" i="3"/>
  <c r="J32" i="3"/>
  <c r="J34" i="3"/>
  <c r="J5" i="3"/>
  <c r="R26" i="6" l="1"/>
  <c r="Q38" i="5"/>
  <c r="Q39" i="5" s="1"/>
  <c r="G26" i="5" s="1"/>
  <c r="G35" i="5" s="1"/>
  <c r="R38" i="5"/>
  <c r="R39" i="5" s="1"/>
  <c r="H26" i="5" s="1"/>
  <c r="H35" i="5" s="1"/>
  <c r="U38" i="5"/>
  <c r="U39" i="5" s="1"/>
  <c r="H27" i="5" s="1"/>
  <c r="T38" i="5"/>
  <c r="T39" i="5" s="1"/>
  <c r="G27" i="5" s="1"/>
  <c r="K30" i="3"/>
  <c r="K14" i="3"/>
  <c r="K23" i="3"/>
  <c r="K6" i="3"/>
  <c r="K31" i="3"/>
  <c r="I29" i="3"/>
  <c r="K7" i="3"/>
  <c r="I27" i="3"/>
  <c r="T19" i="3"/>
  <c r="K19" i="3" s="1"/>
  <c r="T12" i="3"/>
  <c r="K12" i="3" s="1"/>
  <c r="U11" i="3"/>
  <c r="T11" i="3"/>
  <c r="J20" i="3"/>
  <c r="I35" i="3"/>
  <c r="I11" i="3"/>
  <c r="J35" i="3"/>
  <c r="J27" i="3"/>
  <c r="J19" i="3"/>
  <c r="U35" i="3"/>
  <c r="K35" i="3" s="1"/>
  <c r="K22" i="3"/>
  <c r="K15" i="3"/>
  <c r="J28" i="3"/>
  <c r="J12" i="3"/>
  <c r="U27" i="3"/>
  <c r="K27" i="3" s="1"/>
  <c r="I19" i="3"/>
  <c r="J36" i="3"/>
  <c r="U36" i="3"/>
  <c r="J33" i="3"/>
  <c r="J25" i="3"/>
  <c r="J17" i="3"/>
  <c r="T20" i="3"/>
  <c r="I18" i="3"/>
  <c r="I28" i="3"/>
  <c r="T36" i="3"/>
  <c r="U25" i="3"/>
  <c r="T25" i="3"/>
  <c r="K25" i="3" s="1"/>
  <c r="U20" i="3"/>
  <c r="I12" i="3"/>
  <c r="U33" i="3"/>
  <c r="K24" i="3"/>
  <c r="T9" i="3"/>
  <c r="K9" i="3" s="1"/>
  <c r="T33" i="3"/>
  <c r="U28" i="3"/>
  <c r="K28" i="3" s="1"/>
  <c r="I26" i="3"/>
  <c r="I17" i="3"/>
  <c r="U17" i="3"/>
  <c r="K17" i="3" s="1"/>
  <c r="K5" i="3"/>
  <c r="K29" i="3"/>
  <c r="K21" i="3"/>
  <c r="K13" i="3"/>
  <c r="I21" i="3"/>
  <c r="K32" i="3"/>
  <c r="K16" i="3"/>
  <c r="K8" i="3"/>
  <c r="I34" i="3"/>
  <c r="I10" i="3"/>
  <c r="U34" i="3"/>
  <c r="K34" i="3" s="1"/>
  <c r="U26" i="3"/>
  <c r="K26" i="3" s="1"/>
  <c r="U18" i="3"/>
  <c r="K18" i="3" s="1"/>
  <c r="U10" i="3"/>
  <c r="K10" i="3" s="1"/>
  <c r="K36" i="3" l="1"/>
  <c r="K20" i="3"/>
  <c r="K33" i="3"/>
  <c r="K11" i="3"/>
  <c r="J5" i="2" l="1"/>
  <c r="K5" i="2" s="1"/>
  <c r="J6" i="2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J20" i="2"/>
  <c r="K39" i="1"/>
  <c r="J33" i="1"/>
  <c r="J34" i="1"/>
  <c r="J35" i="1"/>
  <c r="J36" i="1"/>
  <c r="J37" i="1"/>
  <c r="J38" i="1"/>
  <c r="J32" i="1"/>
  <c r="M19" i="1"/>
  <c r="J23" i="1" l="1"/>
  <c r="J24" i="1"/>
  <c r="J26" i="1"/>
  <c r="J27" i="1"/>
  <c r="J20" i="1"/>
  <c r="J28" i="1"/>
  <c r="J21" i="1"/>
  <c r="J29" i="1"/>
  <c r="J22" i="1"/>
  <c r="J30" i="1"/>
  <c r="J25" i="1"/>
  <c r="J19" i="1"/>
  <c r="T26" i="2" l="1"/>
  <c r="T34" i="2"/>
  <c r="T30" i="2"/>
  <c r="S26" i="2"/>
  <c r="S33" i="2"/>
  <c r="S23" i="2"/>
  <c r="T29" i="2"/>
  <c r="T27" i="2"/>
  <c r="S35" i="2"/>
  <c r="S30" i="2"/>
  <c r="T23" i="2"/>
  <c r="S34" i="2"/>
  <c r="S37" i="2"/>
  <c r="S31" i="2"/>
  <c r="T32" i="2"/>
  <c r="S27" i="2"/>
  <c r="K27" i="2" s="1"/>
  <c r="S25" i="2"/>
  <c r="S32" i="2"/>
  <c r="T33" i="2"/>
  <c r="T25" i="2"/>
  <c r="S29" i="2"/>
  <c r="T28" i="2"/>
  <c r="T24" i="2"/>
  <c r="T37" i="2"/>
  <c r="T31" i="2"/>
  <c r="T36" i="2"/>
  <c r="S36" i="2"/>
  <c r="S28" i="2"/>
  <c r="T35" i="2"/>
  <c r="S24" i="2"/>
  <c r="S22" i="2"/>
  <c r="T22" i="2"/>
  <c r="J22" i="2"/>
  <c r="J30" i="2"/>
  <c r="J35" i="2"/>
  <c r="J33" i="2"/>
  <c r="J26" i="2"/>
  <c r="J32" i="2"/>
  <c r="J24" i="2"/>
  <c r="J27" i="2"/>
  <c r="J37" i="2"/>
  <c r="J31" i="2"/>
  <c r="J28" i="2"/>
  <c r="J34" i="2"/>
  <c r="J23" i="2"/>
  <c r="J36" i="2"/>
  <c r="J25" i="2"/>
  <c r="J29" i="2"/>
  <c r="K26" i="2" l="1"/>
  <c r="K36" i="2"/>
  <c r="K30" i="2"/>
  <c r="K31" i="2"/>
  <c r="K34" i="2"/>
  <c r="K22" i="2"/>
  <c r="K28" i="2"/>
  <c r="K35" i="2"/>
  <c r="K29" i="2"/>
  <c r="K33" i="2"/>
  <c r="K32" i="2"/>
  <c r="K37" i="2"/>
  <c r="K23" i="2"/>
  <c r="K24" i="2"/>
  <c r="K25" i="2"/>
  <c r="K38" i="2" l="1"/>
</calcChain>
</file>

<file path=xl/sharedStrings.xml><?xml version="1.0" encoding="utf-8"?>
<sst xmlns="http://schemas.openxmlformats.org/spreadsheetml/2006/main" count="182" uniqueCount="98">
  <si>
    <t>Id</t>
  </si>
  <si>
    <t>x1</t>
  </si>
  <si>
    <t>x2</t>
  </si>
  <si>
    <t>Y - Prediction</t>
  </si>
  <si>
    <t>Training</t>
  </si>
  <si>
    <t>Test</t>
  </si>
  <si>
    <t>Proper Training Set</t>
  </si>
  <si>
    <t>Validation Set</t>
  </si>
  <si>
    <t>Description</t>
  </si>
  <si>
    <t>Residual</t>
  </si>
  <si>
    <t>-</t>
  </si>
  <si>
    <t>- apply the trained model, make predictions
- calculate the prediction intervals by adding and subtracting the quantile
- 90% should be covered</t>
  </si>
  <si>
    <t>Interval</t>
  </si>
  <si>
    <t>Covered</t>
  </si>
  <si>
    <t>Test Set</t>
  </si>
  <si>
    <t>- apply the model, make predictions
- take residuals from validation set to avoid overfitting/too small residuals because model was trained on these data already
- calculate the quantile of the residuals
  -&gt; here, 15.029</t>
  </si>
  <si>
    <t>- train the model (parameters)</t>
  </si>
  <si>
    <t>Residuals</t>
  </si>
  <si>
    <t>Quantiles</t>
  </si>
  <si>
    <t>Run 1</t>
  </si>
  <si>
    <t>Run 2</t>
  </si>
  <si>
    <t>Run 3</t>
  </si>
  <si>
    <t>.</t>
  </si>
  <si>
    <t>Mean =</t>
  </si>
  <si>
    <t>Run 80</t>
  </si>
  <si>
    <t>Lower</t>
  </si>
  <si>
    <t>Upper</t>
  </si>
  <si>
    <t>Coverage</t>
  </si>
  <si>
    <t>…</t>
  </si>
  <si>
    <r>
      <rPr>
        <sz val="24"/>
        <color theme="1"/>
        <rFont val="Aptos Narrow"/>
        <family val="2"/>
        <scheme val="minor"/>
      </rPr>
      <t>Re-Sampled randomly for each run,</t>
    </r>
    <r>
      <rPr>
        <sz val="22"/>
        <color theme="1"/>
        <rFont val="Aptos Narrow"/>
        <family val="2"/>
        <scheme val="minor"/>
      </rPr>
      <t xml:space="preserve">
</t>
    </r>
    <r>
      <rPr>
        <sz val="10"/>
        <color theme="1"/>
        <rFont val="Aptos Narrow"/>
        <family val="2"/>
        <scheme val="minor"/>
      </rPr>
      <t>so that every customer is used for training and testing</t>
    </r>
  </si>
  <si>
    <t>=ROUND(ABS(IF(RAND()&gt;0.5;H5+RAND()*2*(SQRT(H5)+1);H5-RAND()*2*(SQRT(H5)+1)));2)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</si>
  <si>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</si>
  <si>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</si>
  <si>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</si>
  <si>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</si>
  <si>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</si>
  <si>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</si>
  <si>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</si>
  <si>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</si>
  <si>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</si>
  <si>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</si>
  <si>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</si>
  <si>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</si>
  <si>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</si>
  <si>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</si>
  <si>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</si>
  <si>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</si>
  <si>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</si>
  <si>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</si>
  <si>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</si>
  <si>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</si>
  <si>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</si>
  <si>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</si>
  <si>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</si>
  <si>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</si>
  <si>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Scaled quantile</t>
  </si>
  <si>
    <t>Prediction</t>
  </si>
  <si>
    <t>Scaled residuals</t>
  </si>
  <si>
    <t>- Test set not of managerial interest
- But describes how well the method performs when data are taken from the same cohort and not transferred to the next cohort
- Is closer to the original idea of Conformal Prediction</t>
  </si>
  <si>
    <t>r</t>
  </si>
  <si>
    <t>s</t>
  </si>
  <si>
    <t>alpha</t>
  </si>
  <si>
    <t>beta</t>
  </si>
  <si>
    <t>CET_Upper_Diff</t>
  </si>
  <si>
    <t>CET_Lower_Diff</t>
  </si>
  <si>
    <t>pnbd model</t>
  </si>
  <si>
    <t>Above</t>
  </si>
  <si>
    <t>Below</t>
  </si>
  <si>
    <t>run</t>
  </si>
  <si>
    <t>Average</t>
  </si>
  <si>
    <t>Average - alpha/2</t>
  </si>
  <si>
    <t>Min</t>
  </si>
  <si>
    <t>Prediction
Run 1</t>
  </si>
  <si>
    <t>Above
Run 1</t>
  </si>
  <si>
    <t>Below
Run 1</t>
  </si>
  <si>
    <t>3, 2, 1, 0.5</t>
  </si>
  <si>
    <t>4, 2, 1, 0.5</t>
  </si>
  <si>
    <t>2. Make predictions with this combination and get the results</t>
  </si>
  <si>
    <t>1. Provide the model every run with the whole cohort and 1 parameter combination</t>
  </si>
  <si>
    <t>3. Assign the results to their respective parameter combination</t>
  </si>
  <si>
    <t>4. Find the minimum deviation and select this parameter combination to produce e.g.</t>
  </si>
  <si>
    <t>pnbd-model</t>
  </si>
  <si>
    <t>CET Upper</t>
  </si>
  <si>
    <t>CET Lower</t>
  </si>
  <si>
    <t>1. Provide the model with the needed parameter combination to predict e.g. the lower interval boundary</t>
  </si>
  <si>
    <t>3. Check the coverage</t>
  </si>
  <si>
    <t>(95% are desired here)</t>
  </si>
  <si>
    <t>Note</t>
  </si>
  <si>
    <t>- With a "confidence level" of 10%, 5% should be above the upper interval boundary and 5% below</t>
  </si>
  <si>
    <t xml:space="preserve">           Therefore, deduct 5% (alpha/2) from the achieved value</t>
  </si>
  <si>
    <t>- The model can not predict exactly 0, so it makes sense to introduce a small tolerance</t>
  </si>
  <si>
    <t xml:space="preserve">                 for the lower boundary to avoid misleading results (not shown here)</t>
  </si>
  <si>
    <r>
      <t xml:space="preserve">- Train the model
- Make predictions
- Get the residuals
- Get the quantile </t>
    </r>
    <r>
      <rPr>
        <b/>
        <sz val="12"/>
        <color theme="1"/>
        <rFont val="Aptos Narrow"/>
        <family val="2"/>
        <scheme val="minor"/>
      </rPr>
      <t>(1.07)</t>
    </r>
  </si>
  <si>
    <t>the upper prediction interval boundaries for CET</t>
  </si>
  <si>
    <t>Parameter combination for lower boundary:</t>
  </si>
  <si>
    <t>Parameter combination for upper boundary:</t>
  </si>
  <si>
    <t>2. Make predictions for the whole cohort</t>
  </si>
  <si>
    <t>Again, introducing a small tolerance for the lower boundary makes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</si>
</sst>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8" fillId="0" borderId="5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8" fillId="0" borderId="0" xfId="0" applyFont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4" fillId="0" borderId="13" xfId="0" quotePrefix="1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9" fillId="3" borderId="0" xfId="0" applyFont="1" applyFill="1"/>
    <xf numFmtId="0" fontId="8" fillId="2" borderId="0" xfId="0" applyFont="1" applyFill="1"/>
    <xf numFmtId="0" fontId="6" fillId="0" borderId="0" xfId="0" applyFont="1" applyAlignment="1">
      <alignment vertical="top"/>
    </xf>
    <xf numFmtId="0" fontId="1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0" xfId="0" quotePrefix="1"/>
    <xf numFmtId="0" fontId="1" fillId="0" borderId="5" xfId="0" applyFont="1" applyBorder="1"/>
    <xf numFmtId="0" fontId="0" fillId="0" borderId="22" xfId="0" applyBorder="1"/>
    <xf numFmtId="0" fontId="11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Continuous"/>
    </xf>
    <xf numFmtId="0" fontId="5" fillId="0" borderId="0" xfId="0" quotePrefix="1" applyFont="1" applyAlignment="1">
      <alignment vertical="top" wrapText="1"/>
    </xf>
    <xf numFmtId="0" fontId="3" fillId="0" borderId="24" xfId="0" applyFont="1" applyBorder="1"/>
    <xf numFmtId="2" fontId="3" fillId="0" borderId="0" xfId="0" applyNumberFormat="1" applyFont="1"/>
    <xf numFmtId="2" fontId="3" fillId="0" borderId="5" xfId="0" applyNumberFormat="1" applyFont="1" applyBorder="1"/>
    <xf numFmtId="0" fontId="1" fillId="0" borderId="19" xfId="0" applyFont="1" applyBorder="1" applyAlignment="1">
      <alignment wrapText="1"/>
    </xf>
    <xf numFmtId="0" fontId="1" fillId="0" borderId="25" xfId="0" applyFont="1" applyBorder="1"/>
    <xf numFmtId="164" fontId="0" fillId="0" borderId="0" xfId="0" applyNumberFormat="1"/>
    <xf numFmtId="0" fontId="0" fillId="0" borderId="2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27" xfId="0" applyBorder="1"/>
    <xf numFmtId="0" fontId="0" fillId="0" borderId="23" xfId="0" applyBorder="1"/>
    <xf numFmtId="0" fontId="0" fillId="0" borderId="28" xfId="0" applyBorder="1"/>
    <xf numFmtId="0" fontId="0" fillId="4" borderId="14" xfId="0" applyFill="1" applyBorder="1"/>
    <xf numFmtId="0" fontId="0" fillId="4" borderId="0" xfId="0" applyFill="1"/>
    <xf numFmtId="164" fontId="0" fillId="4" borderId="14" xfId="0" applyNumberFormat="1" applyFill="1" applyBorder="1"/>
    <xf numFmtId="0" fontId="0" fillId="5" borderId="14" xfId="0" applyFill="1" applyBorder="1"/>
    <xf numFmtId="0" fontId="0" fillId="5" borderId="0" xfId="0" applyFill="1"/>
    <xf numFmtId="164" fontId="0" fillId="5" borderId="14" xfId="0" applyNumberFormat="1" applyFill="1" applyBorder="1"/>
    <xf numFmtId="164" fontId="0" fillId="4" borderId="15" xfId="0" applyNumberFormat="1" applyFill="1" applyBorder="1"/>
    <xf numFmtId="164" fontId="0" fillId="5" borderId="15" xfId="0" applyNumberForma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13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8" xfId="0" applyFont="1" applyBorder="1"/>
    <xf numFmtId="0" fontId="0" fillId="4" borderId="11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10" xfId="0" applyFill="1" applyBorder="1"/>
    <xf numFmtId="0" fontId="3" fillId="4" borderId="6" xfId="0" applyFont="1" applyFill="1" applyBorder="1"/>
    <xf numFmtId="0" fontId="0" fillId="4" borderId="7" xfId="0" applyFill="1" applyBorder="1"/>
    <xf numFmtId="0" fontId="3" fillId="4" borderId="4" xfId="0" applyFont="1" applyFill="1" applyBorder="1"/>
    <xf numFmtId="0" fontId="0" fillId="4" borderId="8" xfId="0" applyFill="1" applyBorder="1"/>
    <xf numFmtId="0" fontId="3" fillId="4" borderId="9" xfId="0" applyFont="1" applyFill="1" applyBorder="1"/>
    <xf numFmtId="0" fontId="0" fillId="4" borderId="10" xfId="0" applyFill="1" applyBorder="1"/>
    <xf numFmtId="2" fontId="0" fillId="5" borderId="6" xfId="0" applyNumberFormat="1" applyFill="1" applyBorder="1"/>
    <xf numFmtId="2" fontId="0" fillId="5" borderId="4" xfId="0" applyNumberFormat="1" applyFill="1" applyBorder="1"/>
    <xf numFmtId="2" fontId="0" fillId="5" borderId="9" xfId="0" applyNumberFormat="1" applyFill="1" applyBorder="1"/>
    <xf numFmtId="0" fontId="1" fillId="4" borderId="6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11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164" fontId="0" fillId="6" borderId="15" xfId="0" applyNumberFormat="1" applyFill="1" applyBorder="1"/>
    <xf numFmtId="164" fontId="0" fillId="6" borderId="14" xfId="0" applyNumberFormat="1" applyFill="1" applyBorder="1"/>
    <xf numFmtId="0" fontId="1" fillId="0" borderId="17" xfId="0" applyFont="1" applyBorder="1"/>
    <xf numFmtId="0" fontId="5" fillId="0" borderId="0" xfId="0" applyFont="1"/>
    <xf numFmtId="0" fontId="1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1" fillId="7" borderId="23" xfId="0" applyFont="1" applyFill="1" applyBorder="1"/>
    <xf numFmtId="0" fontId="3" fillId="7" borderId="0" xfId="0" applyFont="1" applyFill="1"/>
    <xf numFmtId="0" fontId="3" fillId="7" borderId="22" xfId="0" applyFont="1" applyFill="1" applyBorder="1"/>
    <xf numFmtId="0" fontId="1" fillId="7" borderId="13" xfId="0" applyFont="1" applyFill="1" applyBorder="1"/>
    <xf numFmtId="0" fontId="1" fillId="8" borderId="17" xfId="0" applyFont="1" applyFill="1" applyBorder="1"/>
    <xf numFmtId="0" fontId="1" fillId="8" borderId="23" xfId="0" applyFont="1" applyFill="1" applyBorder="1"/>
    <xf numFmtId="0" fontId="3" fillId="8" borderId="0" xfId="0" applyFont="1" applyFill="1"/>
    <xf numFmtId="0" fontId="3" fillId="8" borderId="22" xfId="0" applyFont="1" applyFill="1" applyBorder="1"/>
    <xf numFmtId="0" fontId="5" fillId="0" borderId="0" xfId="0" quotePrefix="1" applyFont="1"/>
    <xf numFmtId="0" fontId="15" fillId="0" borderId="5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2" fillId="0" borderId="0" xfId="0" quotePrefix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2" fillId="0" borderId="11" xfId="0" quotePrefix="1" applyFont="1" applyBorder="1" applyAlignment="1">
      <alignment horizontal="left" vertical="top" wrapText="1"/>
    </xf>
    <xf numFmtId="0" fontId="3" fillId="0" borderId="0" xfId="0" applyFont="1" applyAlignment="1">
      <alignment horizontal="center" textRotation="90" wrapText="1"/>
    </xf>
    <xf numFmtId="0" fontId="5" fillId="0" borderId="0" xfId="0" quotePrefix="1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26" xfId="0" applyBorder="1" applyAlignment="1"/>
    <xf numFmtId="0" fontId="0" fillId="0" borderId="16" xfId="0" applyBorder="1" applyAlignment="1"/>
    <xf numFmtId="0" fontId="0" fillId="0" borderId="2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12</xdr:row>
      <xdr:rowOff>99060</xdr:rowOff>
    </xdr:from>
    <xdr:to>
      <xdr:col>14</xdr:col>
      <xdr:colOff>358140</xdr:colOff>
      <xdr:row>19</xdr:row>
      <xdr:rowOff>45720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D0B3F68-4DD1-E694-4201-9DBCC28DFC80}"/>
            </a:ext>
          </a:extLst>
        </xdr:cNvPr>
        <xdr:cNvCxnSpPr/>
      </xdr:nvCxnSpPr>
      <xdr:spPr>
        <a:xfrm flipV="1">
          <a:off x="7879080" y="1905000"/>
          <a:ext cx="153924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83820</xdr:rowOff>
    </xdr:from>
    <xdr:to>
      <xdr:col>11</xdr:col>
      <xdr:colOff>830580</xdr:colOff>
      <xdr:row>19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48DAB74-1515-4CB0-A21A-19A8C58E41B7}"/>
            </a:ext>
          </a:extLst>
        </xdr:cNvPr>
        <xdr:cNvCxnSpPr/>
      </xdr:nvCxnSpPr>
      <xdr:spPr>
        <a:xfrm>
          <a:off x="6743700" y="2667000"/>
          <a:ext cx="79248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693420</xdr:colOff>
      <xdr:row>3</xdr:row>
      <xdr:rowOff>175260</xdr:rowOff>
    </xdr:from>
    <xdr:to>
      <xdr:col>11</xdr:col>
      <xdr:colOff>45720</xdr:colOff>
      <xdr:row>20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537821-31AC-8705-B99E-D635F2C4F08A}"/>
            </a:ext>
          </a:extLst>
        </xdr:cNvPr>
        <xdr:cNvSpPr/>
      </xdr:nvSpPr>
      <xdr:spPr>
        <a:xfrm>
          <a:off x="6393180" y="723900"/>
          <a:ext cx="358140" cy="219456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11</xdr:col>
      <xdr:colOff>200660</xdr:colOff>
      <xdr:row>0</xdr:row>
      <xdr:rowOff>181610</xdr:rowOff>
    </xdr:from>
    <xdr:ext cx="1891993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899910" y="181610"/>
              <a:ext cx="1891993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𝑹𝒆𝒔𝒊𝒅𝒖𝒂𝒍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𝒔𝒅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𝑷𝒓𝒆𝒅𝒊𝒄𝒕𝒊𝒐𝒏</m:t>
                    </m:r>
                    <m:r>
                      <a:rPr lang="de-DE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90D91-9A3E-2D88-D70E-358CA73B59FD}"/>
                </a:ext>
              </a:extLst>
            </xdr:cNvPr>
            <xdr:cNvSpPr txBox="1"/>
          </xdr:nvSpPr>
          <xdr:spPr>
            <a:xfrm>
              <a:off x="6899910" y="181610"/>
              <a:ext cx="1891993" cy="1653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GB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𝑹𝒆𝒔𝒊𝒅𝒖𝒂𝒍/𝒔𝒅(𝑷𝒓𝒆𝒅𝒊𝒄𝒕𝒊𝒐𝒏)</a:t>
              </a:r>
              <a:endParaRPr lang="en-GB" sz="1100" b="1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640080</xdr:colOff>
      <xdr:row>1</xdr:row>
      <xdr:rowOff>30480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239F2-D896-2CF5-251F-29A9245A75E8}"/>
            </a:ext>
          </a:extLst>
        </xdr:cNvPr>
        <xdr:cNvSpPr txBox="1"/>
      </xdr:nvSpPr>
      <xdr:spPr>
        <a:xfrm>
          <a:off x="7345680" y="213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10</xdr:col>
      <xdr:colOff>929640</xdr:colOff>
      <xdr:row>14</xdr:row>
      <xdr:rowOff>26670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12770-01D9-57A2-C0C0-501FDEA9694D}"/>
            </a:ext>
          </a:extLst>
        </xdr:cNvPr>
        <xdr:cNvSpPr txBox="1"/>
      </xdr:nvSpPr>
      <xdr:spPr>
        <a:xfrm>
          <a:off x="662940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11</xdr:col>
      <xdr:colOff>203200</xdr:colOff>
      <xdr:row>1</xdr:row>
      <xdr:rowOff>161290</xdr:rowOff>
    </xdr:from>
    <xdr:ext cx="276319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902450" y="345440"/>
              <a:ext cx="2763192" cy="1737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𝑹𝒆𝒔𝒊𝒅𝒖𝒂𝒍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/(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𝒊𝒏𝒕𝒆𝒓𝒄𝒆𝒑𝒕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𝒂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𝑷𝒓𝒆𝒅𝒊𝒄𝒕𝒊𝒐𝒏</m:t>
                    </m:r>
                    <m:r>
                      <a:rPr lang="de-D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 b="1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89AFEBC-C8E5-400F-B14A-17BF2883C810}"/>
                </a:ext>
              </a:extLst>
            </xdr:cNvPr>
            <xdr:cNvSpPr txBox="1"/>
          </xdr:nvSpPr>
          <xdr:spPr>
            <a:xfrm>
              <a:off x="6902450" y="345440"/>
              <a:ext cx="2763192" cy="1737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de-DE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𝑹𝒆𝒔𝒊𝒅𝒖𝒂𝒍/(𝒊𝒏𝒕𝒆𝒓𝒄𝒆𝒑𝒕+𝒂∗𝑷𝒓𝒆𝒅𝒊𝒄𝒕𝒊𝒐𝒏)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10</xdr:col>
      <xdr:colOff>876300</xdr:colOff>
      <xdr:row>1</xdr:row>
      <xdr:rowOff>99060</xdr:rowOff>
    </xdr:from>
    <xdr:to>
      <xdr:col>11</xdr:col>
      <xdr:colOff>144780</xdr:colOff>
      <xdr:row>2</xdr:row>
      <xdr:rowOff>175260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903ACA4-03E4-AA00-7A0E-A03BDDC7DC5D}"/>
            </a:ext>
          </a:extLst>
        </xdr:cNvPr>
        <xdr:cNvCxnSpPr/>
      </xdr:nvCxnSpPr>
      <xdr:spPr>
        <a:xfrm flipH="1">
          <a:off x="6576060" y="281940"/>
          <a:ext cx="274320" cy="259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411479</xdr:colOff>
      <xdr:row>3</xdr:row>
      <xdr:rowOff>358588</xdr:rowOff>
    </xdr:from>
    <xdr:to>
      <xdr:col>11</xdr:col>
      <xdr:colOff>71716</xdr:colOff>
      <xdr:row>36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A7F5EC-3AC2-1C61-31DB-70DACC86CE3F}"/>
            </a:ext>
          </a:extLst>
        </xdr:cNvPr>
        <xdr:cNvSpPr/>
      </xdr:nvSpPr>
      <xdr:spPr>
        <a:xfrm>
          <a:off x="6695738" y="905435"/>
          <a:ext cx="269837" cy="474546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60960</xdr:colOff>
      <xdr:row>4</xdr:row>
      <xdr:rowOff>129540</xdr:rowOff>
    </xdr:from>
    <xdr:to>
      <xdr:col>12</xdr:col>
      <xdr:colOff>45720</xdr:colOff>
      <xdr:row>5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DE09057-0343-7D98-85F0-FF13AED2178E}"/>
            </a:ext>
          </a:extLst>
        </xdr:cNvPr>
        <xdr:cNvCxnSpPr/>
      </xdr:nvCxnSpPr>
      <xdr:spPr>
        <a:xfrm flipV="1">
          <a:off x="6156960" y="876300"/>
          <a:ext cx="594360" cy="990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358140</xdr:colOff>
      <xdr:row>0</xdr:row>
      <xdr:rowOff>72390</xdr:rowOff>
    </xdr:from>
    <xdr:ext cx="2449453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24494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𝒔𝒅</m:t>
                    </m:r>
                    <m:d>
                      <m:dPr>
                        <m:ctrlPr>
                          <a:rPr lang="de-DE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400" b="1" i="1">
                            <a:latin typeface="Cambria Math" panose="02040503050406030204" pitchFamily="18" charset="0"/>
                          </a:rPr>
                          <m:t>𝑷𝒓𝒆𝒅𝒊𝒄𝒕𝒊𝒐𝒏</m:t>
                        </m:r>
                      </m:e>
                    </m:d>
                    <m:r>
                      <a:rPr lang="de-DE" sz="14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84691-2200-FD6A-0133-68A9A9860B96}"/>
                </a:ext>
              </a:extLst>
            </xdr:cNvPr>
            <xdr:cNvSpPr txBox="1"/>
          </xdr:nvSpPr>
          <xdr:spPr>
            <a:xfrm>
              <a:off x="5898328" y="72390"/>
              <a:ext cx="2449453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400" b="1" i="0">
                  <a:latin typeface="Cambria Math" panose="02040503050406030204" pitchFamily="18" charset="0"/>
                </a:rPr>
                <a:t>=𝒔𝒅(𝑷𝒓𝒆𝒅𝒊𝒄𝒕𝒊𝒐𝒏)∗𝒒𝒖𝒂𝒏𝒕𝒊𝒍𝒆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8</xdr:col>
      <xdr:colOff>510540</xdr:colOff>
      <xdr:row>1</xdr:row>
      <xdr:rowOff>3703</xdr:rowOff>
    </xdr:from>
    <xdr:to>
      <xdr:col>9</xdr:col>
      <xdr:colOff>358140</xdr:colOff>
      <xdr:row>3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55CF2A-384A-C5BC-36A1-1003533559EF}"/>
            </a:ext>
          </a:extLst>
        </xdr:cNvPr>
        <xdr:cNvCxnSpPr>
          <a:stCxn id="2" idx="1"/>
        </xdr:cNvCxnSpPr>
      </xdr:nvCxnSpPr>
      <xdr:spPr>
        <a:xfrm flipH="1">
          <a:off x="5441128" y="182997"/>
          <a:ext cx="457200" cy="4324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228600</xdr:colOff>
      <xdr:row>1</xdr:row>
      <xdr:rowOff>72390</xdr:rowOff>
    </xdr:from>
    <xdr:ext cx="2794226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377940" y="255270"/>
              <a:ext cx="279422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𝑷𝒓𝒆𝒅𝒊𝒄𝒕𝒊𝒐𝒏</m:t>
                    </m:r>
                    <m:r>
                      <a:rPr lang="de-DE" sz="1400" b="1" i="1">
                        <a:latin typeface="Cambria Math" panose="02040503050406030204" pitchFamily="18" charset="0"/>
                      </a:rPr>
                      <m:t> ±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𝒔𝒄𝒂𝒍𝒆𝒅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𝒒𝒖𝒂𝒏𝒕𝒊𝒍𝒆</m:t>
                    </m:r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F8CEA20-D45C-4CDD-9F68-31F1015BF5FF}"/>
                </a:ext>
              </a:extLst>
            </xdr:cNvPr>
            <xdr:cNvSpPr txBox="1"/>
          </xdr:nvSpPr>
          <xdr:spPr>
            <a:xfrm>
              <a:off x="6377940" y="255270"/>
              <a:ext cx="2794226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b="1" i="0">
                  <a:latin typeface="Cambria Math" panose="02040503050406030204" pitchFamily="18" charset="0"/>
                </a:rPr>
                <a:t>=𝑷𝒓𝒆𝒅𝒊𝒄𝒕𝒊𝒐𝒏 </a:t>
              </a:r>
              <a:r>
                <a:rPr lang="de-DE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±𝒔𝒄𝒂𝒍𝒆𝒅 𝒒𝒖𝒂𝒏𝒕𝒊𝒍𝒆</a:t>
              </a:r>
              <a:endParaRPr lang="en-GB" sz="1400" b="1"/>
            </a:p>
          </xdr:txBody>
        </xdr:sp>
      </mc:Fallback>
    </mc:AlternateContent>
    <xdr:clientData/>
  </xdr:oneCellAnchor>
  <xdr:twoCellAnchor>
    <xdr:from>
      <xdr:col>9</xdr:col>
      <xdr:colOff>654424</xdr:colOff>
      <xdr:row>1</xdr:row>
      <xdr:rowOff>144897</xdr:rowOff>
    </xdr:from>
    <xdr:to>
      <xdr:col>10</xdr:col>
      <xdr:colOff>205740</xdr:colOff>
      <xdr:row>3</xdr:row>
      <xdr:rowOff>53788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D48542-0EDE-42C7-ACDC-8A041E1FCE6F}"/>
            </a:ext>
          </a:extLst>
        </xdr:cNvPr>
        <xdr:cNvCxnSpPr/>
      </xdr:nvCxnSpPr>
      <xdr:spPr>
        <a:xfrm flipH="1">
          <a:off x="6194612" y="324191"/>
          <a:ext cx="295387" cy="27644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13</xdr:row>
      <xdr:rowOff>68580</xdr:rowOff>
    </xdr:from>
    <xdr:to>
      <xdr:col>10</xdr:col>
      <xdr:colOff>7620</xdr:colOff>
      <xdr:row>25</xdr:row>
      <xdr:rowOff>99060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172A76F3-B9F0-2441-A08F-5317C10C2D46}"/>
            </a:ext>
          </a:extLst>
        </xdr:cNvPr>
        <xdr:cNvCxnSpPr/>
      </xdr:nvCxnSpPr>
      <xdr:spPr>
        <a:xfrm flipV="1">
          <a:off x="601980" y="2446020"/>
          <a:ext cx="5791200" cy="2232660"/>
        </a:xfrm>
        <a:prstGeom prst="curvedConnector3">
          <a:avLst>
            <a:gd name="adj1" fmla="val -8684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8</xdr:row>
      <xdr:rowOff>82550</xdr:rowOff>
    </xdr:from>
    <xdr:to>
      <xdr:col>9</xdr:col>
      <xdr:colOff>590177</xdr:colOff>
      <xdr:row>12</xdr:row>
      <xdr:rowOff>141941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D0585F0-0000-FCDE-30E6-C272EEBADF39}"/>
            </a:ext>
          </a:extLst>
        </xdr:cNvPr>
        <xdr:cNvCxnSpPr/>
      </xdr:nvCxnSpPr>
      <xdr:spPr>
        <a:xfrm>
          <a:off x="4046071" y="1576668"/>
          <a:ext cx="2020047" cy="81392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14</xdr:row>
      <xdr:rowOff>68580</xdr:rowOff>
    </xdr:from>
    <xdr:to>
      <xdr:col>10</xdr:col>
      <xdr:colOff>0</xdr:colOff>
      <xdr:row>26</xdr:row>
      <xdr:rowOff>99060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2D4C6652-15BD-40C1-80A5-0F844A24C298}"/>
            </a:ext>
          </a:extLst>
        </xdr:cNvPr>
        <xdr:cNvCxnSpPr/>
      </xdr:nvCxnSpPr>
      <xdr:spPr>
        <a:xfrm flipV="1">
          <a:off x="594360" y="2628900"/>
          <a:ext cx="5791200" cy="2232660"/>
        </a:xfrm>
        <a:prstGeom prst="curvedConnector3">
          <a:avLst>
            <a:gd name="adj1" fmla="val -86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</xdr:row>
      <xdr:rowOff>83820</xdr:rowOff>
    </xdr:from>
    <xdr:to>
      <xdr:col>16</xdr:col>
      <xdr:colOff>472440</xdr:colOff>
      <xdr:row>20</xdr:row>
      <xdr:rowOff>60960</xdr:rowOff>
    </xdr:to>
    <xdr:cxnSp macro="">
      <xdr:nvCxnSpPr>
        <xdr:cNvPr id="51" name="Connector: Curved 50">
          <a:extLst>
            <a:ext uri="{FF2B5EF4-FFF2-40B4-BE49-F238E27FC236}">
              <a16:creationId xmlns:a16="http://schemas.microsoft.com/office/drawing/2014/main" id="{276AF70E-CF9C-449F-A9F2-B4D184298C3E}"/>
            </a:ext>
          </a:extLst>
        </xdr:cNvPr>
        <xdr:cNvCxnSpPr/>
      </xdr:nvCxnSpPr>
      <xdr:spPr>
        <a:xfrm>
          <a:off x="7604760" y="2461260"/>
          <a:ext cx="3299460" cy="1257300"/>
        </a:xfrm>
        <a:prstGeom prst="curvedConnector3">
          <a:avLst>
            <a:gd name="adj1" fmla="val 100115"/>
          </a:avLst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14</xdr:row>
      <xdr:rowOff>114300</xdr:rowOff>
    </xdr:from>
    <xdr:to>
      <xdr:col>19</xdr:col>
      <xdr:colOff>335280</xdr:colOff>
      <xdr:row>20</xdr:row>
      <xdr:rowOff>53340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C7A6F871-F252-4B71-9F1E-F994F9036D60}"/>
            </a:ext>
          </a:extLst>
        </xdr:cNvPr>
        <xdr:cNvCxnSpPr/>
      </xdr:nvCxnSpPr>
      <xdr:spPr>
        <a:xfrm>
          <a:off x="7612380" y="2674620"/>
          <a:ext cx="5250180" cy="1036320"/>
        </a:xfrm>
        <a:prstGeom prst="curvedConnector3">
          <a:avLst>
            <a:gd name="adj1" fmla="val 99927"/>
          </a:avLst>
        </a:prstGeom>
        <a:ln w="38100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901700</xdr:colOff>
      <xdr:row>25</xdr:row>
      <xdr:rowOff>107950</xdr:rowOff>
    </xdr:from>
    <xdr:to>
      <xdr:col>16</xdr:col>
      <xdr:colOff>328706</xdr:colOff>
      <xdr:row>38</xdr:row>
      <xdr:rowOff>119530</xdr:rowOff>
    </xdr:to>
    <xdr:cxnSp macro="">
      <xdr:nvCxnSpPr>
        <xdr:cNvPr id="60" name="Connector: Curved 59">
          <a:extLst>
            <a:ext uri="{FF2B5EF4-FFF2-40B4-BE49-F238E27FC236}">
              <a16:creationId xmlns:a16="http://schemas.microsoft.com/office/drawing/2014/main" id="{9332161F-6A21-424D-9552-6BB39696E219}"/>
            </a:ext>
          </a:extLst>
        </xdr:cNvPr>
        <xdr:cNvCxnSpPr/>
      </xdr:nvCxnSpPr>
      <xdr:spPr>
        <a:xfrm rot="10800000">
          <a:off x="3927288" y="4799479"/>
          <a:ext cx="6845300" cy="2446992"/>
        </a:xfrm>
        <a:prstGeom prst="curvedConnector3">
          <a:avLst>
            <a:gd name="adj1" fmla="val 126"/>
          </a:avLst>
        </a:prstGeom>
        <a:ln w="127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901700</xdr:colOff>
      <xdr:row>25</xdr:row>
      <xdr:rowOff>82550</xdr:rowOff>
    </xdr:from>
    <xdr:to>
      <xdr:col>17</xdr:col>
      <xdr:colOff>298824</xdr:colOff>
      <xdr:row>38</xdr:row>
      <xdr:rowOff>127000</xdr:rowOff>
    </xdr:to>
    <xdr:cxnSp macro="">
      <xdr:nvCxnSpPr>
        <xdr:cNvPr id="64" name="Connector: Curved 63">
          <a:extLst>
            <a:ext uri="{FF2B5EF4-FFF2-40B4-BE49-F238E27FC236}">
              <a16:creationId xmlns:a16="http://schemas.microsoft.com/office/drawing/2014/main" id="{5FD01E99-3C1F-41BF-AEA5-6CEDC438DCBF}"/>
            </a:ext>
          </a:extLst>
        </xdr:cNvPr>
        <xdr:cNvCxnSpPr/>
      </xdr:nvCxnSpPr>
      <xdr:spPr>
        <a:xfrm rot="10800000">
          <a:off x="4846171" y="4774079"/>
          <a:ext cx="6643594" cy="2479862"/>
        </a:xfrm>
        <a:prstGeom prst="curvedConnector3">
          <a:avLst>
            <a:gd name="adj1" fmla="val 176"/>
          </a:avLst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908050</xdr:colOff>
      <xdr:row>26</xdr:row>
      <xdr:rowOff>107951</xdr:rowOff>
    </xdr:from>
    <xdr:to>
      <xdr:col>19</xdr:col>
      <xdr:colOff>134470</xdr:colOff>
      <xdr:row>38</xdr:row>
      <xdr:rowOff>149412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AD2D2E7E-4386-4D4C-A14F-A1C9A8FDC42A}"/>
            </a:ext>
          </a:extLst>
        </xdr:cNvPr>
        <xdr:cNvCxnSpPr/>
      </xdr:nvCxnSpPr>
      <xdr:spPr>
        <a:xfrm rot="10800000">
          <a:off x="3933638" y="4986245"/>
          <a:ext cx="8743950" cy="22901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914402</xdr:colOff>
      <xdr:row>26</xdr:row>
      <xdr:rowOff>104142</xdr:rowOff>
    </xdr:from>
    <xdr:to>
      <xdr:col>20</xdr:col>
      <xdr:colOff>89648</xdr:colOff>
      <xdr:row>38</xdr:row>
      <xdr:rowOff>112060</xdr:rowOff>
    </xdr:to>
    <xdr:cxnSp macro="">
      <xdr:nvCxnSpPr>
        <xdr:cNvPr id="77" name="Connector: Curved 76">
          <a:extLst>
            <a:ext uri="{FF2B5EF4-FFF2-40B4-BE49-F238E27FC236}">
              <a16:creationId xmlns:a16="http://schemas.microsoft.com/office/drawing/2014/main" id="{01770448-6C0E-4151-B926-184A27F3BD0F}"/>
            </a:ext>
          </a:extLst>
        </xdr:cNvPr>
        <xdr:cNvCxnSpPr/>
      </xdr:nvCxnSpPr>
      <xdr:spPr>
        <a:xfrm rot="10800000">
          <a:off x="4858873" y="4982436"/>
          <a:ext cx="8386481" cy="22565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462878</xdr:colOff>
      <xdr:row>11</xdr:row>
      <xdr:rowOff>12252</xdr:rowOff>
    </xdr:from>
    <xdr:ext cx="422744" cy="468013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9C9FB3C0-0AF8-16F2-573D-1A10CBF22714}"/>
            </a:ext>
          </a:extLst>
        </xdr:cNvPr>
        <xdr:cNvSpPr txBox="1"/>
      </xdr:nvSpPr>
      <xdr:spPr>
        <a:xfrm>
          <a:off x="4407349" y="207413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14</xdr:col>
      <xdr:colOff>381000</xdr:colOff>
      <xdr:row>11</xdr:row>
      <xdr:rowOff>127001</xdr:rowOff>
    </xdr:from>
    <xdr:ext cx="422744" cy="468013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C8A3CC8-451B-4492-8C8F-794B9009FA34}"/>
            </a:ext>
          </a:extLst>
        </xdr:cNvPr>
        <xdr:cNvSpPr txBox="1"/>
      </xdr:nvSpPr>
      <xdr:spPr>
        <a:xfrm>
          <a:off x="8658412" y="2188883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10</xdr:col>
      <xdr:colOff>120649</xdr:colOff>
      <xdr:row>23</xdr:row>
      <xdr:rowOff>108249</xdr:rowOff>
    </xdr:from>
    <xdr:ext cx="422744" cy="468013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EBDB92D-FA55-4DA2-9BE9-F188AF915F75}"/>
            </a:ext>
          </a:extLst>
        </xdr:cNvPr>
        <xdr:cNvSpPr txBox="1"/>
      </xdr:nvSpPr>
      <xdr:spPr>
        <a:xfrm>
          <a:off x="6239061" y="4613014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oneCellAnchor>
    <xdr:from>
      <xdr:col>3</xdr:col>
      <xdr:colOff>298823</xdr:colOff>
      <xdr:row>33</xdr:row>
      <xdr:rowOff>44823</xdr:rowOff>
    </xdr:from>
    <xdr:ext cx="422744" cy="46801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4A080B4A-E2F6-4ACF-B9C2-36C1DA3253F4}"/>
            </a:ext>
          </a:extLst>
        </xdr:cNvPr>
        <xdr:cNvSpPr txBox="1"/>
      </xdr:nvSpPr>
      <xdr:spPr>
        <a:xfrm>
          <a:off x="2136588" y="6432176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4.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</xdr:colOff>
      <xdr:row>4</xdr:row>
      <xdr:rowOff>116840</xdr:rowOff>
    </xdr:from>
    <xdr:to>
      <xdr:col>8</xdr:col>
      <xdr:colOff>337820</xdr:colOff>
      <xdr:row>10</xdr:row>
      <xdr:rowOff>135890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5E1D2-FA11-4D79-E59D-B4DB043209D4}"/>
            </a:ext>
          </a:extLst>
        </xdr:cNvPr>
        <xdr:cNvCxnSpPr/>
      </xdr:nvCxnSpPr>
      <xdr:spPr>
        <a:xfrm>
          <a:off x="4923790" y="859790"/>
          <a:ext cx="900430" cy="1136650"/>
        </a:xfrm>
        <a:prstGeom prst="straightConnector1">
          <a:avLst/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13</xdr:row>
      <xdr:rowOff>57150</xdr:rowOff>
    </xdr:from>
    <xdr:to>
      <xdr:col>7</xdr:col>
      <xdr:colOff>565150</xdr:colOff>
      <xdr:row>13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210F9B-A447-2487-7042-0291ECE5D243}"/>
            </a:ext>
          </a:extLst>
        </xdr:cNvPr>
        <xdr:cNvCxnSpPr/>
      </xdr:nvCxnSpPr>
      <xdr:spPr>
        <a:xfrm>
          <a:off x="4387850" y="2476500"/>
          <a:ext cx="10541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101600</xdr:colOff>
      <xdr:row>13</xdr:row>
      <xdr:rowOff>57150</xdr:rowOff>
    </xdr:from>
    <xdr:to>
      <xdr:col>11</xdr:col>
      <xdr:colOff>546100</xdr:colOff>
      <xdr:row>13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D015F73-E4EA-674B-E6F2-15ED79DABA61}"/>
            </a:ext>
          </a:extLst>
        </xdr:cNvPr>
        <xdr:cNvCxnSpPr/>
      </xdr:nvCxnSpPr>
      <xdr:spPr>
        <a:xfrm>
          <a:off x="7416800" y="2476500"/>
          <a:ext cx="4445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488950</xdr:colOff>
      <xdr:row>9</xdr:row>
      <xdr:rowOff>114300</xdr:rowOff>
    </xdr:from>
    <xdr:ext cx="422744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8EE425-A025-453A-8FFB-7C10A76AB65C}"/>
            </a:ext>
          </a:extLst>
        </xdr:cNvPr>
        <xdr:cNvSpPr txBox="1"/>
      </xdr:nvSpPr>
      <xdr:spPr>
        <a:xfrm>
          <a:off x="4756150" y="179070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1.</a:t>
          </a:r>
        </a:p>
      </xdr:txBody>
    </xdr:sp>
    <xdr:clientData/>
  </xdr:oneCellAnchor>
  <xdr:oneCellAnchor>
    <xdr:from>
      <xdr:col>11</xdr:col>
      <xdr:colOff>127373</xdr:colOff>
      <xdr:row>10</xdr:row>
      <xdr:rowOff>178249</xdr:rowOff>
    </xdr:from>
    <xdr:ext cx="42274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BC4C6E-7589-4032-9AC8-3DCDB9FF1E5C}"/>
            </a:ext>
          </a:extLst>
        </xdr:cNvPr>
        <xdr:cNvSpPr txBox="1"/>
      </xdr:nvSpPr>
      <xdr:spPr>
        <a:xfrm>
          <a:off x="7442573" y="2038799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2.</a:t>
          </a:r>
        </a:p>
      </xdr:txBody>
    </xdr:sp>
    <xdr:clientData/>
  </xdr:oneCellAnchor>
  <xdr:oneCellAnchor>
    <xdr:from>
      <xdr:col>12</xdr:col>
      <xdr:colOff>587112</xdr:colOff>
      <xdr:row>24</xdr:row>
      <xdr:rowOff>17930</xdr:rowOff>
    </xdr:from>
    <xdr:ext cx="422744" cy="468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55E662C-0611-4890-845E-42E383D1700F}"/>
            </a:ext>
          </a:extLst>
        </xdr:cNvPr>
        <xdr:cNvSpPr txBox="1"/>
      </xdr:nvSpPr>
      <xdr:spPr>
        <a:xfrm>
          <a:off x="8511912" y="4475630"/>
          <a:ext cx="42274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 b="1">
              <a:solidFill>
                <a:srgbClr val="FF0000"/>
              </a:solidFill>
            </a:rPr>
            <a:t>3.</a:t>
          </a:r>
        </a:p>
      </xdr:txBody>
    </xdr:sp>
    <xdr:clientData/>
  </xdr:oneCellAnchor>
  <xdr:twoCellAnchor>
    <xdr:from>
      <xdr:col>10</xdr:col>
      <xdr:colOff>603250</xdr:colOff>
      <xdr:row>7</xdr:row>
      <xdr:rowOff>85090</xdr:rowOff>
    </xdr:from>
    <xdr:to>
      <xdr:col>14</xdr:col>
      <xdr:colOff>25400</xdr:colOff>
      <xdr:row>12</xdr:row>
      <xdr:rowOff>120650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BCBBEA04-A3A2-E854-3243-9241086424B5}"/>
            </a:ext>
          </a:extLst>
        </xdr:cNvPr>
        <xdr:cNvCxnSpPr/>
      </xdr:nvCxnSpPr>
      <xdr:spPr>
        <a:xfrm flipV="1">
          <a:off x="7308850" y="1393190"/>
          <a:ext cx="1860550" cy="962660"/>
        </a:xfrm>
        <a:prstGeom prst="curvedConnector3">
          <a:avLst>
            <a:gd name="adj1" fmla="val 50000"/>
          </a:avLst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596900</xdr:colOff>
      <xdr:row>7</xdr:row>
      <xdr:rowOff>123190</xdr:rowOff>
    </xdr:from>
    <xdr:to>
      <xdr:col>16</xdr:col>
      <xdr:colOff>24130</xdr:colOff>
      <xdr:row>14</xdr:row>
      <xdr:rowOff>114300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16A5B570-9783-2EE8-7BD1-1123896DF203}"/>
            </a:ext>
          </a:extLst>
        </xdr:cNvPr>
        <xdr:cNvCxnSpPr/>
      </xdr:nvCxnSpPr>
      <xdr:spPr>
        <a:xfrm flipV="1">
          <a:off x="7302500" y="1431290"/>
          <a:ext cx="3084830" cy="1286510"/>
        </a:xfrm>
        <a:prstGeom prst="curvedConnector3">
          <a:avLst>
            <a:gd name="adj1" fmla="val 50000"/>
          </a:avLst>
        </a:prstGeom>
        <a:ln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6</xdr:row>
      <xdr:rowOff>45720</xdr:rowOff>
    </xdr:from>
    <xdr:to>
      <xdr:col>8</xdr:col>
      <xdr:colOff>44450</xdr:colOff>
      <xdr:row>10</xdr:row>
      <xdr:rowOff>121920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CF0B8D9-2A8D-42E0-A74D-B378557AC981}"/>
            </a:ext>
          </a:extLst>
        </xdr:cNvPr>
        <xdr:cNvCxnSpPr/>
      </xdr:nvCxnSpPr>
      <xdr:spPr>
        <a:xfrm>
          <a:off x="4930140" y="1163320"/>
          <a:ext cx="600710" cy="819150"/>
        </a:xfrm>
        <a:prstGeom prst="straightConnector1">
          <a:avLst/>
        </a:prstGeom>
        <a:ln>
          <a:solidFill>
            <a:schemeClr val="accent3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231866</xdr:colOff>
      <xdr:row>2</xdr:row>
      <xdr:rowOff>120468</xdr:rowOff>
    </xdr:from>
    <xdr:ext cx="1888511" cy="48372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D0BB59-5DB2-5FB5-F2D6-3D257C24D6EC}"/>
            </a:ext>
          </a:extLst>
        </xdr:cNvPr>
        <xdr:cNvSpPr txBox="1"/>
      </xdr:nvSpPr>
      <xdr:spPr>
        <a:xfrm>
          <a:off x="8972454" y="493997"/>
          <a:ext cx="1888511" cy="48372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/>
            <a:t>Interval boundaries </a:t>
          </a:r>
          <a:r>
            <a:rPr lang="en-GB" sz="1100" b="0"/>
            <a:t>(predictions</a:t>
          </a:r>
          <a:r>
            <a:rPr lang="en-GB" sz="1100" b="0" baseline="0"/>
            <a:t> from the model)</a:t>
          </a:r>
          <a:endParaRPr lang="en-GB" sz="1400" b="0"/>
        </a:p>
      </xdr:txBody>
    </xdr:sp>
    <xdr:clientData/>
  </xdr:oneCellAnchor>
  <xdr:twoCellAnchor>
    <xdr:from>
      <xdr:col>14</xdr:col>
      <xdr:colOff>377734</xdr:colOff>
      <xdr:row>5</xdr:row>
      <xdr:rowOff>35155</xdr:rowOff>
    </xdr:from>
    <xdr:to>
      <xdr:col>15</xdr:col>
      <xdr:colOff>518710</xdr:colOff>
      <xdr:row>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411490-FA78-914D-FD20-8542B327E45F}"/>
            </a:ext>
          </a:extLst>
        </xdr:cNvPr>
        <xdr:cNvCxnSpPr>
          <a:stCxn id="2" idx="2"/>
        </xdr:cNvCxnSpPr>
      </xdr:nvCxnSpPr>
      <xdr:spPr>
        <a:xfrm flipH="1">
          <a:off x="9118322" y="976449"/>
          <a:ext cx="798388" cy="353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518710</xdr:colOff>
      <xdr:row>5</xdr:row>
      <xdr:rowOff>35155</xdr:rowOff>
    </xdr:from>
    <xdr:to>
      <xdr:col>16</xdr:col>
      <xdr:colOff>414201</xdr:colOff>
      <xdr:row>7</xdr:row>
      <xdr:rowOff>3266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7445D92-BCC1-03D5-9D4F-E23449579F1E}"/>
            </a:ext>
          </a:extLst>
        </xdr:cNvPr>
        <xdr:cNvCxnSpPr>
          <a:stCxn id="2" idx="2"/>
        </xdr:cNvCxnSpPr>
      </xdr:nvCxnSpPr>
      <xdr:spPr>
        <a:xfrm>
          <a:off x="9916710" y="976449"/>
          <a:ext cx="508079" cy="3565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54686</xdr:colOff>
      <xdr:row>3</xdr:row>
      <xdr:rowOff>38473</xdr:rowOff>
    </xdr:from>
    <xdr:ext cx="1905150" cy="436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C5D7BF-17EE-87CB-A844-CB6CDD988A4C}"/>
            </a:ext>
          </a:extLst>
        </xdr:cNvPr>
        <xdr:cNvSpPr txBox="1"/>
      </xdr:nvSpPr>
      <xdr:spPr>
        <a:xfrm>
          <a:off x="6225392" y="598767"/>
          <a:ext cx="19051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Actually unknown but become</a:t>
          </a:r>
          <a:b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100" b="0">
              <a:solidFill>
                <a:schemeClr val="tx1"/>
              </a:solidFill>
              <a:latin typeface="+mn-lt"/>
              <a:ea typeface="+mn-ea"/>
              <a:cs typeface="+mn-cs"/>
            </a:rPr>
            <a:t>visible by the time</a:t>
          </a:r>
        </a:p>
      </xdr:txBody>
    </xdr:sp>
    <xdr:clientData/>
  </xdr:oneCellAnchor>
  <xdr:twoCellAnchor>
    <xdr:from>
      <xdr:col>12</xdr:col>
      <xdr:colOff>600956</xdr:colOff>
      <xdr:row>5</xdr:row>
      <xdr:rowOff>112543</xdr:rowOff>
    </xdr:from>
    <xdr:to>
      <xdr:col>13</xdr:col>
      <xdr:colOff>276411</xdr:colOff>
      <xdr:row>6</xdr:row>
      <xdr:rowOff>179295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B390840-4222-4E18-956D-F44BAAE3A64D}"/>
            </a:ext>
          </a:extLst>
        </xdr:cNvPr>
        <xdr:cNvCxnSpPr/>
      </xdr:nvCxnSpPr>
      <xdr:spPr>
        <a:xfrm>
          <a:off x="7996838" y="1053837"/>
          <a:ext cx="288044" cy="26098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9088-B484-49FF-A527-F79FC44AC7B7}">
  <dimension ref="B4:N39"/>
  <sheetViews>
    <sheetView topLeftCell="A3" workbookViewId="0">
      <selection activeCell="L47" sqref="L47"/>
    </sheetView>
  </sheetViews>
  <sheetFormatPr defaultRowHeight="14.4" x14ac:dyDescent="0.3"/>
  <cols>
    <col min="4" max="4" width="2.77734375" customWidth="1"/>
    <col min="5" max="8" width="6.77734375" customWidth="1"/>
    <col min="9" max="9" width="11.5546875" customWidth="1"/>
    <col min="10" max="10" width="11.77734375" customWidth="1"/>
    <col min="11" max="12" width="16.5546875" customWidth="1"/>
  </cols>
  <sheetData>
    <row r="4" spans="2:12" s="2" customFormat="1" ht="13.8" customHeight="1" thickBot="1" x14ac:dyDescent="0.35">
      <c r="D4" s="5" t="s">
        <v>0</v>
      </c>
      <c r="E4" s="5" t="s">
        <v>1</v>
      </c>
      <c r="F4" s="5" t="s">
        <v>2</v>
      </c>
      <c r="G4" s="5" t="s">
        <v>28</v>
      </c>
      <c r="H4" s="9" t="b">
        <v>1</v>
      </c>
      <c r="I4" s="9" t="s">
        <v>3</v>
      </c>
      <c r="J4" s="121" t="s">
        <v>8</v>
      </c>
      <c r="K4" s="121"/>
      <c r="L4" s="121"/>
    </row>
    <row r="5" spans="2:12" s="2" customFormat="1" ht="10.199999999999999" customHeight="1" x14ac:dyDescent="0.25">
      <c r="B5" s="129" t="s">
        <v>4</v>
      </c>
      <c r="C5" s="132" t="s">
        <v>6</v>
      </c>
      <c r="D5" s="2">
        <v>1</v>
      </c>
      <c r="E5" s="2">
        <v>741</v>
      </c>
      <c r="F5" s="2">
        <v>297</v>
      </c>
      <c r="G5" s="2">
        <v>367</v>
      </c>
      <c r="H5" s="10">
        <v>8.4499999999999993</v>
      </c>
      <c r="I5" s="19" t="s">
        <v>10</v>
      </c>
      <c r="J5" s="135" t="s">
        <v>16</v>
      </c>
      <c r="K5" s="135"/>
      <c r="L5" s="135"/>
    </row>
    <row r="6" spans="2:12" s="2" customFormat="1" ht="10.199999999999999" customHeight="1" x14ac:dyDescent="0.25">
      <c r="B6" s="130"/>
      <c r="C6" s="133"/>
      <c r="D6" s="2">
        <v>2</v>
      </c>
      <c r="E6" s="2">
        <v>948</v>
      </c>
      <c r="F6" s="2">
        <v>638</v>
      </c>
      <c r="G6" s="2">
        <v>785</v>
      </c>
      <c r="H6" s="11">
        <v>9.25</v>
      </c>
      <c r="I6" s="20" t="s">
        <v>10</v>
      </c>
      <c r="J6" s="128"/>
      <c r="K6" s="128"/>
      <c r="L6" s="128"/>
    </row>
    <row r="7" spans="2:12" s="2" customFormat="1" ht="10.199999999999999" customHeight="1" x14ac:dyDescent="0.25">
      <c r="B7" s="130"/>
      <c r="C7" s="133"/>
      <c r="D7" s="2">
        <v>3</v>
      </c>
      <c r="E7" s="2">
        <v>100</v>
      </c>
      <c r="F7" s="2">
        <v>241</v>
      </c>
      <c r="G7" s="2">
        <v>150</v>
      </c>
      <c r="H7" s="11">
        <v>0</v>
      </c>
      <c r="I7" s="20" t="s">
        <v>10</v>
      </c>
      <c r="J7" s="128"/>
      <c r="K7" s="128"/>
      <c r="L7" s="128"/>
    </row>
    <row r="8" spans="2:12" s="2" customFormat="1" ht="10.199999999999999" customHeight="1" x14ac:dyDescent="0.25">
      <c r="B8" s="130"/>
      <c r="C8" s="133"/>
      <c r="D8" s="2">
        <v>4</v>
      </c>
      <c r="E8" s="2">
        <v>708</v>
      </c>
      <c r="F8" s="2">
        <v>310</v>
      </c>
      <c r="G8" s="2">
        <v>747</v>
      </c>
      <c r="H8" s="11">
        <v>0</v>
      </c>
      <c r="I8" s="20" t="s">
        <v>10</v>
      </c>
      <c r="J8" s="128"/>
      <c r="K8" s="128"/>
      <c r="L8" s="128"/>
    </row>
    <row r="9" spans="2:12" s="2" customFormat="1" ht="10.199999999999999" customHeight="1" x14ac:dyDescent="0.25">
      <c r="B9" s="130"/>
      <c r="C9" s="133"/>
      <c r="D9" s="2">
        <v>5</v>
      </c>
      <c r="E9" s="2">
        <v>20</v>
      </c>
      <c r="F9" s="2">
        <v>763</v>
      </c>
      <c r="G9" s="2">
        <v>305</v>
      </c>
      <c r="H9" s="11">
        <v>9.3800000000000008</v>
      </c>
      <c r="I9" s="20" t="s">
        <v>10</v>
      </c>
      <c r="J9" s="128"/>
      <c r="K9" s="128"/>
      <c r="L9" s="128"/>
    </row>
    <row r="10" spans="2:12" s="2" customFormat="1" ht="10.199999999999999" customHeight="1" x14ac:dyDescent="0.25">
      <c r="B10" s="130"/>
      <c r="C10" s="133"/>
      <c r="D10" s="2">
        <v>6</v>
      </c>
      <c r="E10" s="2">
        <v>124</v>
      </c>
      <c r="F10" s="2">
        <v>764</v>
      </c>
      <c r="G10" s="2">
        <v>770</v>
      </c>
      <c r="H10" s="11">
        <v>3.65</v>
      </c>
      <c r="I10" s="20" t="s">
        <v>10</v>
      </c>
      <c r="J10" s="128"/>
      <c r="K10" s="128"/>
      <c r="L10" s="128"/>
    </row>
    <row r="11" spans="2:12" s="2" customFormat="1" ht="10.199999999999999" customHeight="1" x14ac:dyDescent="0.25">
      <c r="B11" s="130"/>
      <c r="C11" s="133"/>
      <c r="D11" s="2">
        <v>7</v>
      </c>
      <c r="E11" s="2">
        <v>836</v>
      </c>
      <c r="F11" s="2">
        <v>510</v>
      </c>
      <c r="G11" s="2">
        <v>175</v>
      </c>
      <c r="H11" s="11">
        <v>18.940000000000001</v>
      </c>
      <c r="I11" s="20" t="s">
        <v>10</v>
      </c>
      <c r="J11" s="128"/>
      <c r="K11" s="128"/>
      <c r="L11" s="128"/>
    </row>
    <row r="12" spans="2:12" s="2" customFormat="1" ht="10.199999999999999" customHeight="1" x14ac:dyDescent="0.25">
      <c r="B12" s="130"/>
      <c r="C12" s="133"/>
      <c r="D12" s="2">
        <v>8</v>
      </c>
      <c r="E12" s="2">
        <v>776</v>
      </c>
      <c r="F12" s="2">
        <v>615</v>
      </c>
      <c r="G12" s="2">
        <v>247</v>
      </c>
      <c r="H12" s="11">
        <v>4.83</v>
      </c>
      <c r="I12" s="20" t="s">
        <v>10</v>
      </c>
      <c r="J12" s="128"/>
      <c r="K12" s="128"/>
      <c r="L12" s="128"/>
    </row>
    <row r="13" spans="2:12" s="2" customFormat="1" ht="10.199999999999999" customHeight="1" x14ac:dyDescent="0.25">
      <c r="B13" s="130"/>
      <c r="C13" s="133"/>
      <c r="D13" s="2">
        <v>9</v>
      </c>
      <c r="E13" s="2">
        <v>112</v>
      </c>
      <c r="F13" s="2">
        <v>941</v>
      </c>
      <c r="G13" s="2">
        <v>110</v>
      </c>
      <c r="H13" s="11">
        <v>0</v>
      </c>
      <c r="I13" s="20" t="s">
        <v>10</v>
      </c>
      <c r="J13" s="128"/>
      <c r="K13" s="128"/>
      <c r="L13" s="128"/>
    </row>
    <row r="14" spans="2:12" s="2" customFormat="1" ht="10.199999999999999" customHeight="1" x14ac:dyDescent="0.25">
      <c r="B14" s="130"/>
      <c r="C14" s="133"/>
      <c r="D14" s="2">
        <v>10</v>
      </c>
      <c r="E14" s="2">
        <v>566</v>
      </c>
      <c r="F14" s="2">
        <v>293</v>
      </c>
      <c r="G14" s="2">
        <v>222</v>
      </c>
      <c r="H14" s="11">
        <v>28.8</v>
      </c>
      <c r="I14" s="20" t="s">
        <v>10</v>
      </c>
      <c r="J14" s="128"/>
      <c r="K14" s="128"/>
      <c r="L14" s="128"/>
    </row>
    <row r="15" spans="2:12" s="2" customFormat="1" ht="10.199999999999999" customHeight="1" x14ac:dyDescent="0.25">
      <c r="B15" s="130"/>
      <c r="C15" s="133"/>
      <c r="D15" s="2">
        <v>11</v>
      </c>
      <c r="E15" s="2">
        <v>827</v>
      </c>
      <c r="F15" s="2">
        <v>744</v>
      </c>
      <c r="G15" s="2">
        <v>450</v>
      </c>
      <c r="H15" s="11">
        <v>5.65</v>
      </c>
      <c r="I15" s="20" t="s">
        <v>10</v>
      </c>
      <c r="J15" s="128"/>
      <c r="K15" s="128"/>
      <c r="L15" s="128"/>
    </row>
    <row r="16" spans="2:12" s="2" customFormat="1" ht="10.199999999999999" customHeight="1" x14ac:dyDescent="0.25">
      <c r="B16" s="130"/>
      <c r="C16" s="133"/>
      <c r="D16" s="2">
        <v>12</v>
      </c>
      <c r="E16" s="2">
        <v>740</v>
      </c>
      <c r="F16" s="2">
        <v>533</v>
      </c>
      <c r="G16" s="2">
        <v>348</v>
      </c>
      <c r="H16" s="11">
        <v>0.05</v>
      </c>
      <c r="I16" s="20" t="s">
        <v>10</v>
      </c>
      <c r="J16" s="128"/>
      <c r="K16" s="128"/>
      <c r="L16" s="128"/>
    </row>
    <row r="17" spans="2:14" s="2" customFormat="1" ht="10.199999999999999" customHeight="1" x14ac:dyDescent="0.25">
      <c r="B17" s="130"/>
      <c r="C17" s="134"/>
      <c r="D17" s="2">
        <v>13</v>
      </c>
      <c r="E17" s="2">
        <v>290</v>
      </c>
      <c r="F17" s="2">
        <v>900</v>
      </c>
      <c r="G17" s="2">
        <v>418</v>
      </c>
      <c r="H17" s="11">
        <v>3.27</v>
      </c>
      <c r="I17" s="20" t="s">
        <v>10</v>
      </c>
      <c r="J17" s="128"/>
      <c r="K17" s="128"/>
      <c r="L17" s="128"/>
    </row>
    <row r="18" spans="2:14" s="2" customFormat="1" ht="12.6" customHeight="1" x14ac:dyDescent="0.3">
      <c r="B18" s="130"/>
      <c r="C18" s="3"/>
      <c r="D18" s="3"/>
      <c r="E18" s="3"/>
      <c r="F18" s="3"/>
      <c r="G18" s="3"/>
      <c r="H18" s="13"/>
      <c r="I18" s="14"/>
      <c r="J18" s="23" t="s">
        <v>9</v>
      </c>
      <c r="K18" s="3"/>
      <c r="L18" s="3"/>
    </row>
    <row r="19" spans="2:14" s="2" customFormat="1" ht="10.199999999999999" customHeight="1" x14ac:dyDescent="0.25">
      <c r="B19" s="130"/>
      <c r="C19" s="132" t="s">
        <v>7</v>
      </c>
      <c r="D19" s="2">
        <v>14</v>
      </c>
      <c r="E19" s="2">
        <v>530</v>
      </c>
      <c r="F19" s="2">
        <v>895</v>
      </c>
      <c r="G19" s="2">
        <v>401</v>
      </c>
      <c r="H19" s="11">
        <v>3.54</v>
      </c>
      <c r="I19" s="2">
        <v>2.4700000000000002</v>
      </c>
      <c r="J19" s="6">
        <f>ABS(H19-I19)</f>
        <v>1.0699999999999998</v>
      </c>
      <c r="K19" s="128" t="s">
        <v>15</v>
      </c>
      <c r="L19" s="128"/>
      <c r="M19" s="2">
        <f>_xlfn.PERCENTILE.INC(J19:J30,0.9)</f>
        <v>15.029000000000002</v>
      </c>
    </row>
    <row r="20" spans="2:14" s="2" customFormat="1" ht="10.199999999999999" customHeight="1" x14ac:dyDescent="0.25">
      <c r="B20" s="130"/>
      <c r="C20" s="133"/>
      <c r="D20" s="2">
        <v>15</v>
      </c>
      <c r="E20" s="2">
        <v>471</v>
      </c>
      <c r="F20" s="2">
        <v>252</v>
      </c>
      <c r="G20" s="2">
        <v>616</v>
      </c>
      <c r="H20" s="11">
        <v>10.57</v>
      </c>
      <c r="I20" s="2">
        <v>9</v>
      </c>
      <c r="J20" s="7">
        <f t="shared" ref="J20:J30" si="0">ABS(H20-I20)</f>
        <v>1.5700000000000003</v>
      </c>
      <c r="K20" s="128"/>
      <c r="L20" s="128"/>
    </row>
    <row r="21" spans="2:14" s="2" customFormat="1" ht="10.199999999999999" customHeight="1" x14ac:dyDescent="0.25">
      <c r="B21" s="130"/>
      <c r="C21" s="133"/>
      <c r="D21" s="2">
        <v>16</v>
      </c>
      <c r="E21" s="2">
        <v>817</v>
      </c>
      <c r="F21" s="2">
        <v>429</v>
      </c>
      <c r="G21" s="2">
        <v>366</v>
      </c>
      <c r="H21" s="11">
        <v>6.67</v>
      </c>
      <c r="I21" s="2">
        <v>30.25</v>
      </c>
      <c r="J21" s="7">
        <f t="shared" si="0"/>
        <v>23.58</v>
      </c>
      <c r="K21" s="128"/>
      <c r="L21" s="128"/>
    </row>
    <row r="22" spans="2:14" s="2" customFormat="1" ht="10.199999999999999" customHeight="1" x14ac:dyDescent="0.25">
      <c r="B22" s="130"/>
      <c r="C22" s="133"/>
      <c r="D22" s="2">
        <v>17</v>
      </c>
      <c r="E22" s="2">
        <v>947</v>
      </c>
      <c r="F22" s="2">
        <v>73</v>
      </c>
      <c r="G22" s="2">
        <v>185</v>
      </c>
      <c r="H22" s="11">
        <v>29.25</v>
      </c>
      <c r="I22" s="2">
        <v>25</v>
      </c>
      <c r="J22" s="7">
        <f t="shared" si="0"/>
        <v>4.25</v>
      </c>
      <c r="K22" s="128"/>
      <c r="L22" s="128"/>
    </row>
    <row r="23" spans="2:14" s="2" customFormat="1" ht="10.199999999999999" customHeight="1" x14ac:dyDescent="0.25">
      <c r="B23" s="130"/>
      <c r="C23" s="133"/>
      <c r="D23" s="2">
        <v>18</v>
      </c>
      <c r="E23" s="2">
        <v>132</v>
      </c>
      <c r="F23" s="2">
        <v>351</v>
      </c>
      <c r="G23" s="2">
        <v>662</v>
      </c>
      <c r="H23" s="11">
        <v>0.43</v>
      </c>
      <c r="I23" s="2">
        <v>0</v>
      </c>
      <c r="J23" s="7">
        <f t="shared" si="0"/>
        <v>0.43</v>
      </c>
      <c r="K23" s="128"/>
      <c r="L23" s="128"/>
    </row>
    <row r="24" spans="2:14" s="2" customFormat="1" ht="10.199999999999999" customHeight="1" x14ac:dyDescent="0.25">
      <c r="B24" s="130"/>
      <c r="C24" s="133"/>
      <c r="D24" s="2">
        <v>19</v>
      </c>
      <c r="E24" s="2">
        <v>71</v>
      </c>
      <c r="F24" s="2">
        <v>309</v>
      </c>
      <c r="G24" s="2">
        <v>135</v>
      </c>
      <c r="H24" s="11">
        <v>0.01</v>
      </c>
      <c r="I24" s="2">
        <v>3.96</v>
      </c>
      <c r="J24" s="7">
        <f t="shared" si="0"/>
        <v>3.95</v>
      </c>
      <c r="K24" s="128"/>
      <c r="L24" s="128"/>
    </row>
    <row r="25" spans="2:14" s="2" customFormat="1" ht="10.199999999999999" customHeight="1" x14ac:dyDescent="0.25">
      <c r="B25" s="130"/>
      <c r="C25" s="133"/>
      <c r="D25" s="2">
        <v>20</v>
      </c>
      <c r="E25" s="2">
        <v>454</v>
      </c>
      <c r="F25" s="2">
        <v>562</v>
      </c>
      <c r="G25" s="2">
        <v>768</v>
      </c>
      <c r="H25" s="11">
        <v>0</v>
      </c>
      <c r="I25" s="2">
        <v>4</v>
      </c>
      <c r="J25" s="7">
        <f t="shared" si="0"/>
        <v>4</v>
      </c>
      <c r="K25" s="128"/>
      <c r="L25" s="128"/>
    </row>
    <row r="26" spans="2:14" s="2" customFormat="1" ht="10.199999999999999" customHeight="1" x14ac:dyDescent="0.25">
      <c r="B26" s="130"/>
      <c r="C26" s="133"/>
      <c r="D26" s="2">
        <v>21</v>
      </c>
      <c r="E26" s="2">
        <v>5</v>
      </c>
      <c r="F26" s="2">
        <v>22</v>
      </c>
      <c r="G26" s="2">
        <v>461</v>
      </c>
      <c r="H26" s="11">
        <v>22.09</v>
      </c>
      <c r="I26" s="2">
        <v>22</v>
      </c>
      <c r="J26" s="7">
        <f t="shared" si="0"/>
        <v>8.9999999999999858E-2</v>
      </c>
      <c r="K26" s="128"/>
      <c r="L26" s="128"/>
    </row>
    <row r="27" spans="2:14" s="2" customFormat="1" ht="10.199999999999999" customHeight="1" x14ac:dyDescent="0.25">
      <c r="B27" s="130"/>
      <c r="C27" s="133"/>
      <c r="D27" s="2">
        <v>22</v>
      </c>
      <c r="E27" s="2">
        <v>172</v>
      </c>
      <c r="F27" s="2">
        <v>667</v>
      </c>
      <c r="G27" s="2">
        <v>574</v>
      </c>
      <c r="H27" s="11">
        <v>2.64</v>
      </c>
      <c r="I27" s="2">
        <v>12.62</v>
      </c>
      <c r="J27" s="7">
        <f t="shared" si="0"/>
        <v>9.9799999999999986</v>
      </c>
      <c r="K27" s="128"/>
      <c r="L27" s="128"/>
    </row>
    <row r="28" spans="2:14" s="2" customFormat="1" ht="10.199999999999999" customHeight="1" x14ac:dyDescent="0.25">
      <c r="B28" s="130"/>
      <c r="C28" s="133"/>
      <c r="D28" s="2">
        <v>23</v>
      </c>
      <c r="E28" s="2">
        <v>117</v>
      </c>
      <c r="F28" s="2">
        <v>96</v>
      </c>
      <c r="G28" s="2">
        <v>271</v>
      </c>
      <c r="H28" s="11">
        <v>3.01</v>
      </c>
      <c r="I28" s="2">
        <v>0.62</v>
      </c>
      <c r="J28" s="7">
        <f t="shared" si="0"/>
        <v>2.3899999999999997</v>
      </c>
      <c r="K28" s="128"/>
      <c r="L28" s="128"/>
    </row>
    <row r="29" spans="2:14" s="2" customFormat="1" ht="10.199999999999999" customHeight="1" x14ac:dyDescent="0.25">
      <c r="B29" s="130"/>
      <c r="C29" s="133"/>
      <c r="D29" s="2">
        <v>24</v>
      </c>
      <c r="E29" s="2">
        <v>481</v>
      </c>
      <c r="F29" s="2">
        <v>267</v>
      </c>
      <c r="G29" s="2">
        <v>393</v>
      </c>
      <c r="H29" s="11">
        <v>15.68</v>
      </c>
      <c r="I29" s="2">
        <v>0.09</v>
      </c>
      <c r="J29" s="7">
        <f t="shared" si="0"/>
        <v>15.59</v>
      </c>
      <c r="K29" s="128"/>
      <c r="L29" s="128"/>
    </row>
    <row r="30" spans="2:14" s="2" customFormat="1" ht="10.199999999999999" customHeight="1" x14ac:dyDescent="0.25">
      <c r="B30" s="131"/>
      <c r="C30" s="134"/>
      <c r="D30" s="2">
        <v>25</v>
      </c>
      <c r="E30" s="2">
        <v>470</v>
      </c>
      <c r="F30" s="2">
        <v>833</v>
      </c>
      <c r="G30" s="2">
        <v>331</v>
      </c>
      <c r="H30" s="11">
        <v>0.04</v>
      </c>
      <c r="I30" s="2">
        <v>0</v>
      </c>
      <c r="J30" s="8">
        <f t="shared" si="0"/>
        <v>0.04</v>
      </c>
      <c r="K30" s="128"/>
      <c r="L30" s="128"/>
    </row>
    <row r="31" spans="2:14" s="2" customFormat="1" ht="13.2" customHeight="1" x14ac:dyDescent="0.3">
      <c r="B31" s="4"/>
      <c r="C31" s="4"/>
      <c r="D31" s="4"/>
      <c r="E31" s="4"/>
      <c r="F31" s="4"/>
      <c r="G31" s="4"/>
      <c r="H31" s="15"/>
      <c r="I31" s="16"/>
      <c r="J31" s="22" t="s">
        <v>12</v>
      </c>
      <c r="K31" s="22" t="s">
        <v>13</v>
      </c>
      <c r="L31" s="4"/>
    </row>
    <row r="32" spans="2:14" s="2" customFormat="1" ht="10.199999999999999" customHeight="1" x14ac:dyDescent="0.25">
      <c r="B32" s="122" t="s">
        <v>14</v>
      </c>
      <c r="C32" s="123"/>
      <c r="D32" s="2">
        <v>26</v>
      </c>
      <c r="E32" s="2">
        <v>8</v>
      </c>
      <c r="F32" s="2">
        <v>138</v>
      </c>
      <c r="G32" s="2">
        <v>293</v>
      </c>
      <c r="H32" s="11">
        <v>8.0500000000000007</v>
      </c>
      <c r="I32" s="12">
        <v>0.28000000000000003</v>
      </c>
      <c r="J32" s="21" t="str">
        <f>_xlfn.CONCAT("[",MAX(I32-M$19,0),", ",I32+M$19,"]")</f>
        <v>[0, 15.309]</v>
      </c>
      <c r="K32" s="2">
        <v>1</v>
      </c>
      <c r="L32" s="128" t="s">
        <v>11</v>
      </c>
      <c r="M32" s="128"/>
      <c r="N32" s="128"/>
    </row>
    <row r="33" spans="2:14" s="2" customFormat="1" ht="10.199999999999999" customHeight="1" x14ac:dyDescent="0.25">
      <c r="B33" s="124"/>
      <c r="C33" s="125"/>
      <c r="D33" s="2">
        <v>27</v>
      </c>
      <c r="E33" s="2">
        <v>957</v>
      </c>
      <c r="F33" s="2">
        <v>100</v>
      </c>
      <c r="G33" s="2">
        <v>414</v>
      </c>
      <c r="H33" s="11">
        <v>0.06</v>
      </c>
      <c r="I33" s="12">
        <v>16.649999999999999</v>
      </c>
      <c r="J33" s="21" t="str">
        <f t="shared" ref="J33:J38" si="1">_xlfn.CONCAT("[",MAX(I33-M$19,0),", ",I33+M$19,"]")</f>
        <v>[1.621, 31.679]</v>
      </c>
      <c r="K33" s="2">
        <v>1</v>
      </c>
      <c r="L33" s="128"/>
      <c r="M33" s="128"/>
      <c r="N33" s="128"/>
    </row>
    <row r="34" spans="2:14" s="2" customFormat="1" ht="10.199999999999999" customHeight="1" x14ac:dyDescent="0.25">
      <c r="B34" s="124"/>
      <c r="C34" s="125"/>
      <c r="D34" s="2">
        <v>28</v>
      </c>
      <c r="E34" s="2">
        <v>978</v>
      </c>
      <c r="F34" s="2">
        <v>939</v>
      </c>
      <c r="G34" s="2">
        <v>131</v>
      </c>
      <c r="H34" s="11">
        <v>0.09</v>
      </c>
      <c r="I34" s="12">
        <v>1.38</v>
      </c>
      <c r="J34" s="21" t="str">
        <f t="shared" si="1"/>
        <v>[0, 16.409]</v>
      </c>
      <c r="K34" s="2">
        <v>1</v>
      </c>
      <c r="L34" s="128"/>
      <c r="M34" s="128"/>
      <c r="N34" s="128"/>
    </row>
    <row r="35" spans="2:14" s="2" customFormat="1" ht="10.199999999999999" customHeight="1" x14ac:dyDescent="0.25">
      <c r="B35" s="124"/>
      <c r="C35" s="125"/>
      <c r="D35" s="2">
        <v>29</v>
      </c>
      <c r="E35" s="2">
        <v>353</v>
      </c>
      <c r="F35" s="2">
        <v>471</v>
      </c>
      <c r="G35" s="2">
        <v>976</v>
      </c>
      <c r="H35" s="11">
        <v>0</v>
      </c>
      <c r="I35" s="12">
        <v>25.6</v>
      </c>
      <c r="J35" s="21" t="str">
        <f t="shared" si="1"/>
        <v>[10.571, 40.629]</v>
      </c>
      <c r="K35" s="2">
        <v>0</v>
      </c>
      <c r="L35" s="128"/>
      <c r="M35" s="128"/>
      <c r="N35" s="128"/>
    </row>
    <row r="36" spans="2:14" s="2" customFormat="1" ht="10.199999999999999" customHeight="1" x14ac:dyDescent="0.25">
      <c r="B36" s="124"/>
      <c r="C36" s="125"/>
      <c r="D36" s="2">
        <v>30</v>
      </c>
      <c r="E36" s="2">
        <v>357</v>
      </c>
      <c r="F36" s="2">
        <v>575</v>
      </c>
      <c r="G36" s="2">
        <v>135</v>
      </c>
      <c r="H36" s="11">
        <v>9.2899999999999991</v>
      </c>
      <c r="I36" s="12">
        <v>5.22</v>
      </c>
      <c r="J36" s="21" t="str">
        <f t="shared" si="1"/>
        <v>[0, 20.249]</v>
      </c>
      <c r="K36" s="2">
        <v>1</v>
      </c>
      <c r="L36" s="128"/>
      <c r="M36" s="128"/>
      <c r="N36" s="128"/>
    </row>
    <row r="37" spans="2:14" s="2" customFormat="1" ht="10.199999999999999" customHeight="1" x14ac:dyDescent="0.25">
      <c r="B37" s="124"/>
      <c r="C37" s="125"/>
      <c r="D37" s="2">
        <v>31</v>
      </c>
      <c r="E37" s="2">
        <v>26</v>
      </c>
      <c r="F37" s="2">
        <v>747</v>
      </c>
      <c r="G37" s="2">
        <v>775</v>
      </c>
      <c r="H37" s="11">
        <v>0</v>
      </c>
      <c r="I37" s="12">
        <v>0.55000000000000004</v>
      </c>
      <c r="J37" s="21" t="str">
        <f t="shared" si="1"/>
        <v>[0, 15.579]</v>
      </c>
      <c r="K37" s="2">
        <v>1</v>
      </c>
      <c r="L37" s="128"/>
      <c r="M37" s="128"/>
      <c r="N37" s="128"/>
    </row>
    <row r="38" spans="2:14" s="2" customFormat="1" ht="10.199999999999999" customHeight="1" thickBot="1" x14ac:dyDescent="0.3">
      <c r="B38" s="126"/>
      <c r="C38" s="127"/>
      <c r="D38" s="2">
        <v>32</v>
      </c>
      <c r="E38" s="2">
        <v>238</v>
      </c>
      <c r="F38" s="2">
        <v>855</v>
      </c>
      <c r="G38" s="2">
        <v>429</v>
      </c>
      <c r="H38" s="17">
        <v>0.9</v>
      </c>
      <c r="I38" s="18">
        <v>0</v>
      </c>
      <c r="J38" s="21" t="str">
        <f t="shared" si="1"/>
        <v>[0, 15.029]</v>
      </c>
      <c r="K38" s="2">
        <v>1</v>
      </c>
      <c r="L38" s="128"/>
      <c r="M38" s="128"/>
      <c r="N38" s="128"/>
    </row>
    <row r="39" spans="2:14" x14ac:dyDescent="0.3">
      <c r="K39">
        <f>ROUND(AVERAGE(K32:K38),2)</f>
        <v>0.86</v>
      </c>
    </row>
  </sheetData>
  <mergeCells count="8">
    <mergeCell ref="J4:L4"/>
    <mergeCell ref="B32:C38"/>
    <mergeCell ref="K19:L30"/>
    <mergeCell ref="B5:B30"/>
    <mergeCell ref="C5:C17"/>
    <mergeCell ref="C19:C30"/>
    <mergeCell ref="J5:L17"/>
    <mergeCell ref="L32:N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3753-1B87-4AB6-8727-3C0C9D3FE884}">
  <dimension ref="B3:T38"/>
  <sheetViews>
    <sheetView workbookViewId="0">
      <selection activeCell="K49" sqref="K49"/>
    </sheetView>
  </sheetViews>
  <sheetFormatPr defaultRowHeight="14.4" x14ac:dyDescent="0.3"/>
  <cols>
    <col min="2" max="2" width="10.109375" style="2" customWidth="1"/>
    <col min="3" max="3" width="8.88671875" style="2"/>
    <col min="4" max="4" width="2.77734375" customWidth="1"/>
    <col min="5" max="8" width="6.77734375" customWidth="1"/>
    <col min="9" max="9" width="11.5546875" customWidth="1"/>
    <col min="10" max="10" width="10.21875" style="2" customWidth="1"/>
    <col min="11" max="11" width="14.6640625" style="2" customWidth="1"/>
    <col min="12" max="12" width="16.5546875" style="2" customWidth="1"/>
  </cols>
  <sheetData>
    <row r="3" spans="2:17" x14ac:dyDescent="0.3">
      <c r="Q3" s="43" t="s">
        <v>30</v>
      </c>
    </row>
    <row r="4" spans="2:17" x14ac:dyDescent="0.3">
      <c r="D4" s="25" t="s">
        <v>0</v>
      </c>
      <c r="E4" s="25" t="s">
        <v>1</v>
      </c>
      <c r="F4" s="25" t="s">
        <v>2</v>
      </c>
      <c r="G4" s="25" t="s">
        <v>28</v>
      </c>
      <c r="H4" s="25" t="b">
        <v>1</v>
      </c>
      <c r="I4" s="44" t="s">
        <v>3</v>
      </c>
      <c r="J4" s="25" t="s">
        <v>17</v>
      </c>
      <c r="K4" s="44" t="s">
        <v>57</v>
      </c>
    </row>
    <row r="5" spans="2:17" s="1" customFormat="1" ht="10.199999999999999" customHeight="1" x14ac:dyDescent="0.25">
      <c r="B5" s="136" t="s">
        <v>29</v>
      </c>
      <c r="C5" s="129" t="s">
        <v>4</v>
      </c>
      <c r="D5" s="26">
        <v>1</v>
      </c>
      <c r="E5" s="34">
        <v>741</v>
      </c>
      <c r="F5" s="34">
        <v>297</v>
      </c>
      <c r="G5" s="34">
        <v>367</v>
      </c>
      <c r="H5" s="34">
        <v>8.4499999999999993</v>
      </c>
      <c r="I5" s="27">
        <v>13.58</v>
      </c>
      <c r="J5" s="27">
        <f>ABS(H5-I5)</f>
        <v>5.1300000000000008</v>
      </c>
      <c r="K5" s="1">
        <f>ROUND(J5/(LM!B$17+LM!B$18*'CP 1'!I5),2)</f>
        <v>0.8</v>
      </c>
      <c r="L5" s="137" t="s">
        <v>92</v>
      </c>
      <c r="M5" s="137"/>
    </row>
    <row r="6" spans="2:17" s="1" customFormat="1" ht="10.199999999999999" customHeight="1" x14ac:dyDescent="0.25">
      <c r="B6" s="136"/>
      <c r="C6" s="130"/>
      <c r="D6" s="28">
        <v>2</v>
      </c>
      <c r="E6" s="1">
        <v>948</v>
      </c>
      <c r="F6" s="1">
        <v>638</v>
      </c>
      <c r="G6" s="1">
        <v>785</v>
      </c>
      <c r="H6" s="1">
        <v>9.25</v>
      </c>
      <c r="I6" s="29">
        <v>17.13</v>
      </c>
      <c r="J6" s="29">
        <f t="shared" ref="J6:J20" si="0">ABS(H6-I6)</f>
        <v>7.879999999999999</v>
      </c>
      <c r="K6" s="1">
        <f>ROUND(J6/(LM!B$17+LM!B$18*'CP 1'!I6),2)</f>
        <v>1.03</v>
      </c>
      <c r="L6" s="137"/>
      <c r="M6" s="137"/>
    </row>
    <row r="7" spans="2:17" s="1" customFormat="1" ht="10.199999999999999" customHeight="1" x14ac:dyDescent="0.25">
      <c r="B7" s="136"/>
      <c r="C7" s="130"/>
      <c r="D7" s="28">
        <v>3</v>
      </c>
      <c r="E7" s="1">
        <v>100</v>
      </c>
      <c r="F7" s="1">
        <v>241</v>
      </c>
      <c r="G7" s="1">
        <v>150</v>
      </c>
      <c r="H7" s="1">
        <v>0</v>
      </c>
      <c r="I7" s="29">
        <v>1.62</v>
      </c>
      <c r="J7" s="29">
        <f t="shared" si="0"/>
        <v>1.62</v>
      </c>
      <c r="K7" s="1">
        <f>ROUND(J7/(LM!B$17+LM!B$18*'CP 1'!I7),2)</f>
        <v>0.67</v>
      </c>
      <c r="L7" s="137"/>
      <c r="M7" s="137"/>
    </row>
    <row r="8" spans="2:17" s="1" customFormat="1" ht="10.199999999999999" customHeight="1" x14ac:dyDescent="0.25">
      <c r="B8" s="136"/>
      <c r="C8" s="130"/>
      <c r="D8" s="28">
        <v>4</v>
      </c>
      <c r="E8" s="1">
        <v>708</v>
      </c>
      <c r="F8" s="1">
        <v>310</v>
      </c>
      <c r="G8" s="1">
        <v>747</v>
      </c>
      <c r="H8" s="1">
        <v>0</v>
      </c>
      <c r="I8" s="29">
        <v>0.23</v>
      </c>
      <c r="J8" s="29">
        <f t="shared" si="0"/>
        <v>0.23</v>
      </c>
      <c r="K8" s="1">
        <f>ROUND(J8/(LM!B$17+LM!B$18*'CP 1'!I8),2)</f>
        <v>0.12</v>
      </c>
      <c r="L8" s="137"/>
      <c r="M8" s="137"/>
    </row>
    <row r="9" spans="2:17" s="1" customFormat="1" ht="10.199999999999999" customHeight="1" x14ac:dyDescent="0.25">
      <c r="B9" s="136"/>
      <c r="C9" s="130"/>
      <c r="D9" s="28">
        <v>5</v>
      </c>
      <c r="E9" s="1">
        <v>20</v>
      </c>
      <c r="F9" s="1">
        <v>763</v>
      </c>
      <c r="G9" s="1">
        <v>305</v>
      </c>
      <c r="H9" s="1">
        <v>9.3800000000000008</v>
      </c>
      <c r="I9" s="29">
        <v>10.47</v>
      </c>
      <c r="J9" s="29">
        <f t="shared" si="0"/>
        <v>1.0899999999999999</v>
      </c>
      <c r="K9" s="1">
        <f>ROUND(J9/(LM!B$17+LM!B$18*'CP 1'!I9),2)</f>
        <v>0.2</v>
      </c>
      <c r="L9" s="137"/>
      <c r="M9" s="137"/>
    </row>
    <row r="10" spans="2:17" s="1" customFormat="1" ht="13.2" customHeight="1" x14ac:dyDescent="0.3">
      <c r="B10" s="136"/>
      <c r="C10" s="130"/>
      <c r="D10" s="28">
        <v>6</v>
      </c>
      <c r="E10" s="1">
        <v>124</v>
      </c>
      <c r="F10" s="1">
        <v>764</v>
      </c>
      <c r="G10" s="1">
        <v>770</v>
      </c>
      <c r="H10" s="1">
        <v>3.65</v>
      </c>
      <c r="I10" s="29">
        <v>9.39</v>
      </c>
      <c r="J10" s="29">
        <f t="shared" si="0"/>
        <v>5.74</v>
      </c>
      <c r="K10" s="1">
        <f>ROUND(J10/(LM!B$17+LM!B$18*'CP 1'!I10),2)</f>
        <v>1.1399999999999999</v>
      </c>
      <c r="L10" s="137"/>
      <c r="M10" s="137"/>
      <c r="N10" s="25" t="s">
        <v>18</v>
      </c>
    </row>
    <row r="11" spans="2:17" s="1" customFormat="1" ht="10.199999999999999" customHeight="1" x14ac:dyDescent="0.25">
      <c r="B11" s="136"/>
      <c r="C11" s="130"/>
      <c r="D11" s="28">
        <v>7</v>
      </c>
      <c r="E11" s="1">
        <v>836</v>
      </c>
      <c r="F11" s="1">
        <v>510</v>
      </c>
      <c r="G11" s="1">
        <v>175</v>
      </c>
      <c r="H11" s="1">
        <v>18.940000000000001</v>
      </c>
      <c r="I11" s="29">
        <v>21.98</v>
      </c>
      <c r="J11" s="29">
        <f t="shared" si="0"/>
        <v>3.0399999999999991</v>
      </c>
      <c r="K11" s="1">
        <f>ROUND(J11/(LM!B$17+LM!B$18*'CP 1'!I11),2)</f>
        <v>0.33</v>
      </c>
      <c r="L11" s="137"/>
      <c r="M11" s="137"/>
      <c r="N11" s="26" t="s">
        <v>19</v>
      </c>
      <c r="O11" s="27">
        <v>1.72</v>
      </c>
    </row>
    <row r="12" spans="2:17" s="1" customFormat="1" ht="10.199999999999999" customHeight="1" x14ac:dyDescent="0.25">
      <c r="B12" s="136"/>
      <c r="C12" s="130"/>
      <c r="D12" s="28">
        <v>8</v>
      </c>
      <c r="E12" s="1">
        <v>776</v>
      </c>
      <c r="F12" s="1">
        <v>615</v>
      </c>
      <c r="G12" s="1">
        <v>247</v>
      </c>
      <c r="H12" s="1">
        <v>4.83</v>
      </c>
      <c r="I12" s="29">
        <v>2.0299999999999998</v>
      </c>
      <c r="J12" s="29">
        <f t="shared" si="0"/>
        <v>2.8000000000000003</v>
      </c>
      <c r="K12" s="1">
        <f>ROUND(J12/(LM!B$17+LM!B$18*'CP 1'!I12),2)</f>
        <v>1.1000000000000001</v>
      </c>
      <c r="L12" s="137"/>
      <c r="M12" s="137"/>
      <c r="N12" s="28" t="s">
        <v>20</v>
      </c>
      <c r="O12" s="29">
        <v>0.71</v>
      </c>
    </row>
    <row r="13" spans="2:17" s="1" customFormat="1" ht="10.199999999999999" customHeight="1" x14ac:dyDescent="0.25">
      <c r="B13" s="136"/>
      <c r="C13" s="130"/>
      <c r="D13" s="28">
        <v>9</v>
      </c>
      <c r="E13" s="1">
        <v>112</v>
      </c>
      <c r="F13" s="1">
        <v>941</v>
      </c>
      <c r="G13" s="1">
        <v>110</v>
      </c>
      <c r="H13" s="1">
        <v>0</v>
      </c>
      <c r="I13" s="29">
        <v>0.06</v>
      </c>
      <c r="J13" s="29">
        <f t="shared" si="0"/>
        <v>0.06</v>
      </c>
      <c r="K13" s="1">
        <f>ROUND(J13/(LM!B$17+LM!B$18*'CP 1'!I13),2)</f>
        <v>0.03</v>
      </c>
      <c r="L13" s="137"/>
      <c r="M13" s="137"/>
      <c r="N13" s="28" t="s">
        <v>21</v>
      </c>
      <c r="O13" s="29">
        <f>ROUND(L20,2)</f>
        <v>1.07</v>
      </c>
    </row>
    <row r="14" spans="2:17" s="1" customFormat="1" ht="10.199999999999999" customHeight="1" x14ac:dyDescent="0.25">
      <c r="B14" s="136"/>
      <c r="C14" s="130"/>
      <c r="D14" s="28">
        <v>10</v>
      </c>
      <c r="E14" s="1">
        <v>566</v>
      </c>
      <c r="F14" s="1">
        <v>293</v>
      </c>
      <c r="G14" s="1">
        <v>222</v>
      </c>
      <c r="H14" s="1">
        <v>28.8</v>
      </c>
      <c r="I14" s="29">
        <v>39.229999999999997</v>
      </c>
      <c r="J14" s="29">
        <f t="shared" si="0"/>
        <v>10.429999999999996</v>
      </c>
      <c r="K14" s="1">
        <f>ROUND(J14/(LM!B$17+LM!B$18*'CP 1'!I14),2)</f>
        <v>0.69</v>
      </c>
      <c r="L14" s="137"/>
      <c r="M14" s="137"/>
      <c r="N14" s="28" t="s">
        <v>22</v>
      </c>
      <c r="O14" s="32" t="s">
        <v>22</v>
      </c>
    </row>
    <row r="15" spans="2:17" s="1" customFormat="1" ht="10.199999999999999" customHeight="1" x14ac:dyDescent="0.25">
      <c r="B15" s="136"/>
      <c r="C15" s="130"/>
      <c r="D15" s="28">
        <v>11</v>
      </c>
      <c r="E15" s="1">
        <v>827</v>
      </c>
      <c r="F15" s="1">
        <v>744</v>
      </c>
      <c r="G15" s="1">
        <v>450</v>
      </c>
      <c r="H15" s="1">
        <v>5.65</v>
      </c>
      <c r="I15" s="29">
        <v>10.87</v>
      </c>
      <c r="J15" s="29">
        <f t="shared" si="0"/>
        <v>5.2199999999999989</v>
      </c>
      <c r="K15" s="1">
        <f>ROUND(J15/(LM!B$17+LM!B$18*'CP 1'!I15),2)</f>
        <v>0.95</v>
      </c>
      <c r="L15" s="137"/>
      <c r="M15" s="137"/>
      <c r="N15" s="28" t="s">
        <v>22</v>
      </c>
      <c r="O15" s="32" t="s">
        <v>22</v>
      </c>
    </row>
    <row r="16" spans="2:17" s="1" customFormat="1" ht="10.199999999999999" customHeight="1" x14ac:dyDescent="0.25">
      <c r="B16" s="136"/>
      <c r="C16" s="130"/>
      <c r="D16" s="28">
        <v>12</v>
      </c>
      <c r="E16" s="1">
        <v>740</v>
      </c>
      <c r="F16" s="1">
        <v>533</v>
      </c>
      <c r="G16" s="1">
        <v>348</v>
      </c>
      <c r="H16" s="1">
        <v>0.05</v>
      </c>
      <c r="I16" s="29">
        <v>1.38</v>
      </c>
      <c r="J16" s="29">
        <f t="shared" si="0"/>
        <v>1.3299999999999998</v>
      </c>
      <c r="K16" s="1">
        <f>ROUND(J16/(LM!B$17+LM!B$18*'CP 1'!I16),2)</f>
        <v>0.56999999999999995</v>
      </c>
      <c r="L16" s="137"/>
      <c r="M16" s="137"/>
      <c r="N16" s="28" t="s">
        <v>22</v>
      </c>
      <c r="O16" s="32" t="s">
        <v>22</v>
      </c>
    </row>
    <row r="17" spans="2:20" s="1" customFormat="1" ht="10.199999999999999" customHeight="1" x14ac:dyDescent="0.25">
      <c r="B17" s="136"/>
      <c r="C17" s="130"/>
      <c r="D17" s="28">
        <v>13</v>
      </c>
      <c r="E17" s="1">
        <v>290</v>
      </c>
      <c r="F17" s="1">
        <v>900</v>
      </c>
      <c r="G17" s="1">
        <v>418</v>
      </c>
      <c r="H17" s="1">
        <v>3.27</v>
      </c>
      <c r="I17" s="29">
        <v>6.67</v>
      </c>
      <c r="J17" s="29">
        <f t="shared" si="0"/>
        <v>3.4</v>
      </c>
      <c r="K17" s="1">
        <f>ROUND(J17/(LM!B$17+LM!B$18*'CP 1'!I17),2)</f>
        <v>0.83</v>
      </c>
      <c r="L17" s="137"/>
      <c r="M17" s="137"/>
      <c r="N17" s="28" t="s">
        <v>22</v>
      </c>
      <c r="O17" s="32" t="s">
        <v>22</v>
      </c>
    </row>
    <row r="18" spans="2:20" s="1" customFormat="1" ht="10.199999999999999" customHeight="1" x14ac:dyDescent="0.25">
      <c r="B18" s="136"/>
      <c r="C18" s="130"/>
      <c r="D18" s="28">
        <v>14</v>
      </c>
      <c r="E18" s="1">
        <v>530</v>
      </c>
      <c r="F18" s="1">
        <v>895</v>
      </c>
      <c r="G18" s="1">
        <v>401</v>
      </c>
      <c r="H18" s="1">
        <v>3.54</v>
      </c>
      <c r="I18" s="29">
        <v>5.68</v>
      </c>
      <c r="J18" s="29">
        <f t="shared" si="0"/>
        <v>2.1399999999999997</v>
      </c>
      <c r="K18" s="1">
        <f>ROUND(J18/(LM!B$17+LM!B$18*'CP 1'!I18),2)</f>
        <v>0.56999999999999995</v>
      </c>
      <c r="L18" s="137"/>
      <c r="M18" s="137"/>
      <c r="N18" s="30" t="s">
        <v>24</v>
      </c>
      <c r="O18" s="33">
        <v>1.59</v>
      </c>
    </row>
    <row r="19" spans="2:20" s="1" customFormat="1" ht="10.199999999999999" customHeight="1" x14ac:dyDescent="0.3">
      <c r="B19" s="136"/>
      <c r="C19" s="130"/>
      <c r="D19" s="28">
        <v>15</v>
      </c>
      <c r="E19" s="1">
        <v>471</v>
      </c>
      <c r="F19" s="1">
        <v>252</v>
      </c>
      <c r="G19" s="1">
        <v>616</v>
      </c>
      <c r="H19" s="1">
        <v>10.57</v>
      </c>
      <c r="I19" s="29">
        <v>9.84</v>
      </c>
      <c r="J19" s="29">
        <f t="shared" si="0"/>
        <v>0.73000000000000043</v>
      </c>
      <c r="K19" s="1">
        <f>ROUND(J19/(LM!B$17+LM!B$18*'CP 1'!I19),2)</f>
        <v>0.14000000000000001</v>
      </c>
      <c r="L19" s="137"/>
      <c r="M19" s="137"/>
      <c r="N19" s="25"/>
    </row>
    <row r="20" spans="2:20" s="1" customFormat="1" ht="12" customHeight="1" x14ac:dyDescent="0.3">
      <c r="B20" s="136"/>
      <c r="C20" s="131"/>
      <c r="D20" s="30">
        <v>16</v>
      </c>
      <c r="E20" s="35">
        <v>817</v>
      </c>
      <c r="F20" s="35">
        <v>429</v>
      </c>
      <c r="G20" s="35">
        <v>366</v>
      </c>
      <c r="H20" s="35">
        <v>6.67</v>
      </c>
      <c r="I20" s="31">
        <v>7.2</v>
      </c>
      <c r="J20" s="31">
        <f t="shared" si="0"/>
        <v>0.53000000000000025</v>
      </c>
      <c r="K20" s="1">
        <f>ROUND(J20/(LM!B$17+LM!B$18*'CP 1'!I20),2)</f>
        <v>0.12</v>
      </c>
      <c r="L20" s="25">
        <f>ROUND(_xlfn.PERCENTILE.INC(K5:K20,0.9),2)</f>
        <v>1.07</v>
      </c>
      <c r="M20" s="24"/>
      <c r="N20" s="25" t="s">
        <v>23</v>
      </c>
      <c r="O20" s="25">
        <v>1.44</v>
      </c>
    </row>
    <row r="21" spans="2:20" s="1" customFormat="1" ht="18" customHeight="1" x14ac:dyDescent="0.3">
      <c r="B21" s="136"/>
      <c r="I21" s="35"/>
      <c r="J21" s="53" t="s">
        <v>12</v>
      </c>
      <c r="K21" s="25" t="s">
        <v>13</v>
      </c>
      <c r="S21" s="1" t="s">
        <v>25</v>
      </c>
      <c r="T21" s="1" t="s">
        <v>26</v>
      </c>
    </row>
    <row r="22" spans="2:20" s="1" customFormat="1" ht="10.199999999999999" customHeight="1" x14ac:dyDescent="0.25">
      <c r="B22" s="136"/>
      <c r="C22" s="129" t="s">
        <v>5</v>
      </c>
      <c r="D22" s="26">
        <v>17</v>
      </c>
      <c r="E22" s="34">
        <v>947</v>
      </c>
      <c r="F22" s="34">
        <v>73</v>
      </c>
      <c r="G22" s="34">
        <v>185</v>
      </c>
      <c r="H22" s="34">
        <v>29.25</v>
      </c>
      <c r="I22" s="34">
        <v>16.48</v>
      </c>
      <c r="J22" s="36" t="str">
        <f>_xlfn.CONCAT("[",ROUND(MAX(0,I22-L$20*(LM!B$17+LM!B$18*'CP 1'!I22)),2),", ",I22+ROUND(L$20*(LM!B$17+LM!B$18*'CP 1'!I22),2),"]")</f>
        <v>[8.56, 24.4]</v>
      </c>
      <c r="K22" s="36">
        <f t="shared" ref="K22:K37" si="1">IF(AND(H22&gt;=S22,H22&lt;=T22),1,0)</f>
        <v>0</v>
      </c>
      <c r="L22" s="137" t="s">
        <v>58</v>
      </c>
      <c r="M22" s="137"/>
      <c r="N22" s="137"/>
      <c r="O22" s="48"/>
      <c r="S22" s="1">
        <f>ROUND(MAX(0,I22-L$20*(LM!B$17+LM!B$18*'CP 1'!I22)),2)</f>
        <v>8.56</v>
      </c>
      <c r="T22" s="1">
        <f>I22+ROUND(L$20*(LM!B$17+LM!B$18*'CP 1'!I22),2)</f>
        <v>24.4</v>
      </c>
    </row>
    <row r="23" spans="2:20" s="1" customFormat="1" ht="10.199999999999999" customHeight="1" x14ac:dyDescent="0.25">
      <c r="B23" s="136"/>
      <c r="C23" s="130"/>
      <c r="D23" s="28">
        <v>18</v>
      </c>
      <c r="E23" s="1">
        <v>132</v>
      </c>
      <c r="F23" s="1">
        <v>351</v>
      </c>
      <c r="G23" s="1">
        <v>662</v>
      </c>
      <c r="H23" s="1">
        <v>0.43</v>
      </c>
      <c r="I23" s="1">
        <v>0.63</v>
      </c>
      <c r="J23" s="37" t="str">
        <f>_xlfn.CONCAT("[",ROUND(MAX(0,I23-L$20*(LM!B$17+LM!B$18*'CP 1'!I23)),2),", ",I23+ROUND(L$20*(LM!B$17+LM!B$18*'CP 1'!I23),2),"]")</f>
        <v>[0, 2.85]</v>
      </c>
      <c r="K23" s="37">
        <f t="shared" si="1"/>
        <v>1</v>
      </c>
      <c r="L23" s="137"/>
      <c r="M23" s="137"/>
      <c r="N23" s="137"/>
      <c r="O23" s="48"/>
      <c r="S23" s="1">
        <f>ROUND(MAX(0,I23-L$20*(LM!B$17+LM!B$18*'CP 1'!I23)),2)</f>
        <v>0</v>
      </c>
      <c r="T23" s="1">
        <f>I23+ROUND(L$20*(LM!B$17+LM!B$18*'CP 1'!I23),2)</f>
        <v>2.85</v>
      </c>
    </row>
    <row r="24" spans="2:20" s="1" customFormat="1" ht="10.199999999999999" customHeight="1" x14ac:dyDescent="0.25">
      <c r="B24" s="136"/>
      <c r="C24" s="130"/>
      <c r="D24" s="28">
        <v>19</v>
      </c>
      <c r="E24" s="1">
        <v>71</v>
      </c>
      <c r="F24" s="1">
        <v>309</v>
      </c>
      <c r="G24" s="1">
        <v>135</v>
      </c>
      <c r="H24" s="1">
        <v>0.01</v>
      </c>
      <c r="I24" s="1">
        <v>1.21</v>
      </c>
      <c r="J24" s="37" t="str">
        <f>_xlfn.CONCAT("[",ROUND(MAX(0,I24-L$20*(LM!B$17+LM!B$18*'CP 1'!I24)),2),", ",I24+ROUND(L$20*(LM!B$17+LM!B$18*'CP 1'!I24),2),"]")</f>
        <v>[0, 3.64]</v>
      </c>
      <c r="K24" s="37">
        <f t="shared" si="1"/>
        <v>1</v>
      </c>
      <c r="L24" s="137"/>
      <c r="M24" s="137"/>
      <c r="N24" s="137"/>
      <c r="O24" s="48"/>
      <c r="S24" s="1">
        <f>ROUND(MAX(0,I24-L$20*(LM!B$17+LM!B$18*'CP 1'!I24)),2)</f>
        <v>0</v>
      </c>
      <c r="T24" s="1">
        <f>I24+ROUND(L$20*(LM!B$17+LM!B$18*'CP 1'!I24),2)</f>
        <v>3.64</v>
      </c>
    </row>
    <row r="25" spans="2:20" s="1" customFormat="1" ht="10.199999999999999" customHeight="1" x14ac:dyDescent="0.25">
      <c r="B25" s="136"/>
      <c r="C25" s="130"/>
      <c r="D25" s="28">
        <v>20</v>
      </c>
      <c r="E25" s="1">
        <v>454</v>
      </c>
      <c r="F25" s="1">
        <v>562</v>
      </c>
      <c r="G25" s="1">
        <v>768</v>
      </c>
      <c r="H25" s="1">
        <v>0</v>
      </c>
      <c r="I25" s="1">
        <v>0.56000000000000005</v>
      </c>
      <c r="J25" s="37" t="str">
        <f>_xlfn.CONCAT("[",ROUND(MAX(0,I25-L$20*(LM!B$17+LM!B$18*'CP 1'!I25)),2),", ",I25+ROUND(L$20*(LM!B$17+LM!B$18*'CP 1'!I25),2),"]")</f>
        <v>[0, 2.75]</v>
      </c>
      <c r="K25" s="37">
        <f t="shared" si="1"/>
        <v>1</v>
      </c>
      <c r="L25" s="137"/>
      <c r="M25" s="137"/>
      <c r="N25" s="137"/>
      <c r="O25" s="48"/>
      <c r="S25" s="1">
        <f>ROUND(MAX(0,I25-L$20*(LM!B$17+LM!B$18*'CP 1'!I25)),2)</f>
        <v>0</v>
      </c>
      <c r="T25" s="1">
        <f>I25+ROUND(L$20*(LM!B$17+LM!B$18*'CP 1'!I25),2)</f>
        <v>2.75</v>
      </c>
    </row>
    <row r="26" spans="2:20" s="1" customFormat="1" ht="10.199999999999999" customHeight="1" x14ac:dyDescent="0.25">
      <c r="B26" s="136"/>
      <c r="C26" s="130"/>
      <c r="D26" s="28">
        <v>21</v>
      </c>
      <c r="E26" s="1">
        <v>5</v>
      </c>
      <c r="F26" s="1">
        <v>22</v>
      </c>
      <c r="G26" s="1">
        <v>461</v>
      </c>
      <c r="H26" s="1">
        <v>22.09</v>
      </c>
      <c r="I26" s="1">
        <v>14.16</v>
      </c>
      <c r="J26" s="37" t="str">
        <f>_xlfn.CONCAT("[",ROUND(MAX(0,I26-L$20*(LM!B$17+LM!B$18*'CP 1'!I26)),2),", ",I26+ROUND(L$20*(LM!B$17+LM!B$18*'CP 1'!I26),2),"]")</f>
        <v>[7.07, 21.25]</v>
      </c>
      <c r="K26" s="37">
        <f>IF(AND(H26&gt;=S26,H26&lt;=T26),1,0)</f>
        <v>0</v>
      </c>
      <c r="L26" s="137"/>
      <c r="M26" s="137"/>
      <c r="N26" s="137"/>
      <c r="O26" s="48"/>
      <c r="S26" s="1">
        <f>ROUND(MAX(0,I26-L$20*(LM!B$17+LM!B$18*'CP 1'!I26)),2)</f>
        <v>7.07</v>
      </c>
      <c r="T26" s="1">
        <f>I26+ROUND(L$20*(LM!B$17+LM!B$18*'CP 1'!I26),2)</f>
        <v>21.25</v>
      </c>
    </row>
    <row r="27" spans="2:20" s="1" customFormat="1" ht="10.199999999999999" customHeight="1" x14ac:dyDescent="0.25">
      <c r="B27" s="136"/>
      <c r="C27" s="130"/>
      <c r="D27" s="28">
        <v>22</v>
      </c>
      <c r="E27" s="1">
        <v>172</v>
      </c>
      <c r="F27" s="1">
        <v>667</v>
      </c>
      <c r="G27" s="1">
        <v>574</v>
      </c>
      <c r="H27" s="1">
        <v>2.64</v>
      </c>
      <c r="I27" s="1">
        <v>4.18</v>
      </c>
      <c r="J27" s="37" t="str">
        <f>_xlfn.CONCAT("[",ROUND(MAX(0,I27-L$20*(LM!B$17+LM!B$18*'CP 1'!I27)),2),", ",I27+ROUND(L$20*(LM!B$17+LM!B$18*'CP 1'!I27),2),"]")</f>
        <v>[0.68, 7.68]</v>
      </c>
      <c r="K27" s="37">
        <f>IF(AND(H27&gt;=S27,H27&lt;=T27),1,0)</f>
        <v>1</v>
      </c>
      <c r="L27" s="137"/>
      <c r="M27" s="137"/>
      <c r="N27" s="137"/>
      <c r="O27" s="48"/>
      <c r="S27" s="1">
        <f>ROUND(MAX(0,I27-L$20*(LM!B$17+LM!B$18*'CP 1'!I27)),2)</f>
        <v>0.68</v>
      </c>
      <c r="T27" s="1">
        <f>I27+ROUND(L$20*(LM!B$17+LM!B$18*'CP 1'!I27),2)</f>
        <v>7.68</v>
      </c>
    </row>
    <row r="28" spans="2:20" s="1" customFormat="1" ht="10.199999999999999" customHeight="1" x14ac:dyDescent="0.25">
      <c r="B28" s="136"/>
      <c r="C28" s="130"/>
      <c r="D28" s="28">
        <v>23</v>
      </c>
      <c r="E28" s="1">
        <v>117</v>
      </c>
      <c r="F28" s="1">
        <v>96</v>
      </c>
      <c r="G28" s="1">
        <v>271</v>
      </c>
      <c r="H28" s="1">
        <v>3.01</v>
      </c>
      <c r="I28" s="1">
        <v>5.91</v>
      </c>
      <c r="J28" s="37" t="str">
        <f>_xlfn.CONCAT("[",ROUND(MAX(0,I28-L$20*(LM!B$17+LM!B$18*'CP 1'!I28)),2),", ",I28+ROUND(L$20*(LM!B$17+LM!B$18*'CP 1'!I28),2),"]")</f>
        <v>[1.79, 10.03]</v>
      </c>
      <c r="K28" s="37">
        <f t="shared" si="1"/>
        <v>1</v>
      </c>
      <c r="L28" s="137"/>
      <c r="M28" s="137"/>
      <c r="N28" s="137"/>
      <c r="O28" s="48"/>
      <c r="S28" s="1">
        <f>ROUND(MAX(0,I28-L$20*(LM!B$17+LM!B$18*'CP 1'!I28)),2)</f>
        <v>1.79</v>
      </c>
      <c r="T28" s="1">
        <f>I28+ROUND(L$20*(LM!B$17+LM!B$18*'CP 1'!I28),2)</f>
        <v>10.030000000000001</v>
      </c>
    </row>
    <row r="29" spans="2:20" s="1" customFormat="1" ht="10.199999999999999" customHeight="1" x14ac:dyDescent="0.25">
      <c r="B29" s="136"/>
      <c r="C29" s="130"/>
      <c r="D29" s="28">
        <v>24</v>
      </c>
      <c r="E29" s="1">
        <v>481</v>
      </c>
      <c r="F29" s="1">
        <v>267</v>
      </c>
      <c r="G29" s="1">
        <v>393</v>
      </c>
      <c r="H29" s="1">
        <v>15.68</v>
      </c>
      <c r="I29" s="1">
        <v>14.5</v>
      </c>
      <c r="J29" s="37" t="str">
        <f>_xlfn.CONCAT("[",ROUND(MAX(0,I29-L$20*(LM!B$17+LM!B$18*'CP 1'!I29)),2),", ",I29+ROUND(L$20*(LM!B$17+LM!B$18*'CP 1'!I29),2),"]")</f>
        <v>[7.29, 21.71]</v>
      </c>
      <c r="K29" s="37">
        <f t="shared" si="1"/>
        <v>1</v>
      </c>
      <c r="L29" s="137"/>
      <c r="M29" s="137"/>
      <c r="N29" s="137"/>
      <c r="O29" s="48"/>
      <c r="S29" s="1">
        <f>ROUND(MAX(0,I29-L$20*(LM!B$17+LM!B$18*'CP 1'!I29)),2)</f>
        <v>7.29</v>
      </c>
      <c r="T29" s="1">
        <f>I29+ROUND(L$20*(LM!B$17+LM!B$18*'CP 1'!I29),2)</f>
        <v>21.71</v>
      </c>
    </row>
    <row r="30" spans="2:20" s="1" customFormat="1" ht="10.199999999999999" customHeight="1" x14ac:dyDescent="0.25">
      <c r="B30" s="136"/>
      <c r="C30" s="130"/>
      <c r="D30" s="28">
        <v>25</v>
      </c>
      <c r="E30" s="1">
        <v>470</v>
      </c>
      <c r="F30" s="1">
        <v>833</v>
      </c>
      <c r="G30" s="1">
        <v>331</v>
      </c>
      <c r="H30" s="1">
        <v>0.04</v>
      </c>
      <c r="I30" s="1">
        <v>0.34</v>
      </c>
      <c r="J30" s="37" t="str">
        <f>_xlfn.CONCAT("[",ROUND(MAX(0,I30-L$20*(LM!B$17+LM!B$18*'CP 1'!I30)),2),", ",I30+ROUND(L$20*(LM!B$17+LM!B$18*'CP 1'!I30),2),"]")</f>
        <v>[0, 2.45]</v>
      </c>
      <c r="K30" s="37">
        <f t="shared" si="1"/>
        <v>1</v>
      </c>
      <c r="L30" s="137"/>
      <c r="M30" s="137"/>
      <c r="N30" s="137"/>
      <c r="O30" s="48"/>
      <c r="S30" s="1">
        <f>ROUND(MAX(0,I30-L$20*(LM!B$17+LM!B$18*'CP 1'!I30)),2)</f>
        <v>0</v>
      </c>
      <c r="T30" s="1">
        <f>I30+ROUND(L$20*(LM!B$17+LM!B$18*'CP 1'!I30),2)</f>
        <v>2.4499999999999997</v>
      </c>
    </row>
    <row r="31" spans="2:20" s="1" customFormat="1" ht="10.199999999999999" customHeight="1" x14ac:dyDescent="0.25">
      <c r="B31" s="136"/>
      <c r="C31" s="130"/>
      <c r="D31" s="28">
        <v>26</v>
      </c>
      <c r="E31" s="1">
        <v>8</v>
      </c>
      <c r="F31" s="1">
        <v>138</v>
      </c>
      <c r="G31" s="1">
        <v>293</v>
      </c>
      <c r="H31" s="1">
        <v>8.0500000000000007</v>
      </c>
      <c r="I31" s="1">
        <v>10.31</v>
      </c>
      <c r="J31" s="37" t="str">
        <f>_xlfn.CONCAT("[",ROUND(MAX(0,I31-L$20*(LM!B$17+LM!B$18*'CP 1'!I31)),2),", ",I31+ROUND(L$20*(LM!B$17+LM!B$18*'CP 1'!I31),2),"]")</f>
        <v>[4.61, 16.01]</v>
      </c>
      <c r="K31" s="37">
        <f t="shared" si="1"/>
        <v>1</v>
      </c>
      <c r="L31" s="137"/>
      <c r="M31" s="137"/>
      <c r="N31" s="137"/>
      <c r="O31" s="48"/>
      <c r="S31" s="1">
        <f>ROUND(MAX(0,I31-L$20*(LM!B$17+LM!B$18*'CP 1'!I31)),2)</f>
        <v>4.6100000000000003</v>
      </c>
      <c r="T31" s="1">
        <f>I31+ROUND(L$20*(LM!B$17+LM!B$18*'CP 1'!I31),2)</f>
        <v>16.010000000000002</v>
      </c>
    </row>
    <row r="32" spans="2:20" s="1" customFormat="1" ht="10.199999999999999" customHeight="1" x14ac:dyDescent="0.25">
      <c r="B32" s="136"/>
      <c r="C32" s="130"/>
      <c r="D32" s="28">
        <v>27</v>
      </c>
      <c r="E32" s="1">
        <v>957</v>
      </c>
      <c r="F32" s="1">
        <v>100</v>
      </c>
      <c r="G32" s="1">
        <v>414</v>
      </c>
      <c r="H32" s="1">
        <v>0.06</v>
      </c>
      <c r="I32" s="1">
        <v>0.55000000000000004</v>
      </c>
      <c r="J32" s="37" t="str">
        <f>_xlfn.CONCAT("[",ROUND(MAX(0,I32-L$20*(LM!B$17+LM!B$18*'CP 1'!I32)),2),", ",I32+ROUND(L$20*(LM!B$17+LM!B$18*'CP 1'!I32),2),"]")</f>
        <v>[0, 2.74]</v>
      </c>
      <c r="K32" s="37">
        <f t="shared" si="1"/>
        <v>1</v>
      </c>
      <c r="L32" s="137"/>
      <c r="M32" s="137"/>
      <c r="N32" s="137"/>
      <c r="O32" s="48"/>
      <c r="S32" s="1">
        <f>ROUND(MAX(0,I32-L$20*(LM!B$17+LM!B$18*'CP 1'!I32)),2)</f>
        <v>0</v>
      </c>
      <c r="T32" s="1">
        <f>I32+ROUND(L$20*(LM!B$17+LM!B$18*'CP 1'!I32),2)</f>
        <v>2.74</v>
      </c>
    </row>
    <row r="33" spans="2:20" s="1" customFormat="1" ht="10.199999999999999" customHeight="1" x14ac:dyDescent="0.25">
      <c r="B33" s="136"/>
      <c r="C33" s="130"/>
      <c r="D33" s="28">
        <v>28</v>
      </c>
      <c r="E33" s="1">
        <v>978</v>
      </c>
      <c r="F33" s="1">
        <v>939</v>
      </c>
      <c r="G33" s="1">
        <v>131</v>
      </c>
      <c r="H33" s="1">
        <v>0.09</v>
      </c>
      <c r="I33" s="1">
        <v>2.4</v>
      </c>
      <c r="J33" s="37" t="str">
        <f>_xlfn.CONCAT("[",ROUND(MAX(0,I33-L$20*(LM!B$17+LM!B$18*'CP 1'!I33)),2),", ",I33+ROUND(L$20*(LM!B$17+LM!B$18*'CP 1'!I33),2),"]")</f>
        <v>[0, 5.26]</v>
      </c>
      <c r="K33" s="37">
        <f t="shared" si="1"/>
        <v>1</v>
      </c>
      <c r="L33" s="137"/>
      <c r="M33" s="137"/>
      <c r="N33" s="137"/>
      <c r="O33" s="48"/>
      <c r="S33" s="1">
        <f>ROUND(MAX(0,I33-L$20*(LM!B$17+LM!B$18*'CP 1'!I33)),2)</f>
        <v>0</v>
      </c>
      <c r="T33" s="1">
        <f>I33+ROUND(L$20*(LM!B$17+LM!B$18*'CP 1'!I33),2)</f>
        <v>5.26</v>
      </c>
    </row>
    <row r="34" spans="2:20" s="1" customFormat="1" ht="10.199999999999999" customHeight="1" x14ac:dyDescent="0.25">
      <c r="B34" s="136"/>
      <c r="C34" s="130"/>
      <c r="D34" s="28">
        <v>29</v>
      </c>
      <c r="E34" s="1">
        <v>353</v>
      </c>
      <c r="F34" s="1">
        <v>471</v>
      </c>
      <c r="G34" s="1">
        <v>976</v>
      </c>
      <c r="H34" s="1">
        <v>0</v>
      </c>
      <c r="I34" s="1">
        <v>0.48</v>
      </c>
      <c r="J34" s="37" t="str">
        <f>_xlfn.CONCAT("[",ROUND(MAX(0,I34-L$20*(LM!B$17+LM!B$18*'CP 1'!I34)),2),", ",I34+ROUND(L$20*(LM!B$17+LM!B$18*'CP 1'!I34),2),"]")</f>
        <v>[0, 2.65]</v>
      </c>
      <c r="K34" s="37">
        <f t="shared" si="1"/>
        <v>1</v>
      </c>
      <c r="L34" s="137"/>
      <c r="M34" s="137"/>
      <c r="N34" s="137"/>
      <c r="O34" s="48"/>
      <c r="S34" s="1">
        <f>ROUND(MAX(0,I34-L$20*(LM!B$17+LM!B$18*'CP 1'!I34)),2)</f>
        <v>0</v>
      </c>
      <c r="T34" s="1">
        <f>I34+ROUND(L$20*(LM!B$17+LM!B$18*'CP 1'!I34),2)</f>
        <v>2.65</v>
      </c>
    </row>
    <row r="35" spans="2:20" s="1" customFormat="1" ht="10.199999999999999" customHeight="1" x14ac:dyDescent="0.25">
      <c r="B35" s="136"/>
      <c r="C35" s="130"/>
      <c r="D35" s="28">
        <v>30</v>
      </c>
      <c r="E35" s="1">
        <v>357</v>
      </c>
      <c r="F35" s="1">
        <v>575</v>
      </c>
      <c r="G35" s="1">
        <v>135</v>
      </c>
      <c r="H35" s="1">
        <v>9.2899999999999991</v>
      </c>
      <c r="I35" s="1">
        <v>8.4</v>
      </c>
      <c r="J35" s="37" t="str">
        <f>_xlfn.CONCAT("[",ROUND(MAX(0,I35-L$20*(LM!B$17+LM!B$18*'CP 1'!I35)),2),", ",I35+ROUND(L$20*(LM!B$17+LM!B$18*'CP 1'!I35),2),"]")</f>
        <v>[3.39, 13.41]</v>
      </c>
      <c r="K35" s="37">
        <f t="shared" si="1"/>
        <v>1</v>
      </c>
      <c r="L35" s="137"/>
      <c r="M35" s="137"/>
      <c r="N35" s="137"/>
      <c r="O35" s="48"/>
      <c r="S35" s="1">
        <f>ROUND(MAX(0,I35-L$20*(LM!B$17+LM!B$18*'CP 1'!I35)),2)</f>
        <v>3.39</v>
      </c>
      <c r="T35" s="1">
        <f>I35+ROUND(L$20*(LM!B$17+LM!B$18*'CP 1'!I35),2)</f>
        <v>13.41</v>
      </c>
    </row>
    <row r="36" spans="2:20" s="1" customFormat="1" ht="10.199999999999999" customHeight="1" x14ac:dyDescent="0.25">
      <c r="B36" s="136"/>
      <c r="C36" s="130"/>
      <c r="D36" s="28">
        <v>31</v>
      </c>
      <c r="E36" s="1">
        <v>26</v>
      </c>
      <c r="F36" s="1">
        <v>747</v>
      </c>
      <c r="G36" s="1">
        <v>775</v>
      </c>
      <c r="H36" s="1">
        <v>0</v>
      </c>
      <c r="I36" s="1">
        <v>1.58</v>
      </c>
      <c r="J36" s="37" t="str">
        <f>_xlfn.CONCAT("[",ROUND(MAX(0,I36-L$20*(LM!B$17+LM!B$18*'CP 1'!I36)),2),", ",I36+ROUND(L$20*(LM!B$17+LM!B$18*'CP 1'!I36),2),"]")</f>
        <v>[0, 4.14]</v>
      </c>
      <c r="K36" s="37">
        <f>IF(AND(H36&gt;=S36,H36&lt;=T36),1,0)</f>
        <v>1</v>
      </c>
      <c r="L36" s="137"/>
      <c r="M36" s="137"/>
      <c r="N36" s="137"/>
      <c r="O36" s="48"/>
      <c r="S36" s="1">
        <f>ROUND(MAX(0,I36-L$20*(LM!B$17+LM!B$18*'CP 1'!I36)),2)</f>
        <v>0</v>
      </c>
      <c r="T36" s="1">
        <f>I36+ROUND(L$20*(LM!B$17+LM!B$18*'CP 1'!I36),2)</f>
        <v>4.1400000000000006</v>
      </c>
    </row>
    <row r="37" spans="2:20" ht="10.199999999999999" customHeight="1" x14ac:dyDescent="0.3">
      <c r="B37" s="136"/>
      <c r="C37" s="131"/>
      <c r="D37" s="30">
        <v>32</v>
      </c>
      <c r="E37" s="35">
        <v>238</v>
      </c>
      <c r="F37" s="35">
        <v>855</v>
      </c>
      <c r="G37" s="35">
        <v>429</v>
      </c>
      <c r="H37" s="35">
        <v>0.9</v>
      </c>
      <c r="I37" s="35">
        <v>1.69</v>
      </c>
      <c r="J37" s="38" t="str">
        <f>_xlfn.CONCAT("[",ROUND(MAX(0,I37-L$20*(LM!B$17+LM!B$18*'CP 1'!I37)),2),", ",I37+ROUND(L$20*(LM!B$17+LM!B$18*'CP 1'!I37),2),"]")</f>
        <v>[0, 4.29]</v>
      </c>
      <c r="K37" s="38">
        <f t="shared" si="1"/>
        <v>1</v>
      </c>
      <c r="L37" s="137"/>
      <c r="M37" s="137"/>
      <c r="N37" s="137"/>
      <c r="O37" s="48"/>
      <c r="S37" s="1">
        <f>ROUND(MAX(0,I37-L$20*(LM!B$17+LM!B$18*'CP 1'!I37)),2)</f>
        <v>0</v>
      </c>
      <c r="T37" s="1">
        <f>I37+ROUND(L$20*(LM!B$17+LM!B$18*'CP 1'!I37),2)</f>
        <v>4.29</v>
      </c>
    </row>
    <row r="38" spans="2:20" x14ac:dyDescent="0.3">
      <c r="K38" s="25">
        <f>AVERAGE(K22:K37)</f>
        <v>0.875</v>
      </c>
    </row>
  </sheetData>
  <mergeCells count="5">
    <mergeCell ref="C5:C20"/>
    <mergeCell ref="C22:C37"/>
    <mergeCell ref="B5:B37"/>
    <mergeCell ref="L5:M19"/>
    <mergeCell ref="L22:N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A8F5-A2B1-4E18-9C47-5331C8CFD2B2}">
  <dimension ref="C3:U36"/>
  <sheetViews>
    <sheetView zoomScale="85" zoomScaleNormal="85" workbookViewId="0">
      <selection activeCell="L61" sqref="L61"/>
    </sheetView>
  </sheetViews>
  <sheetFormatPr defaultRowHeight="14.4" x14ac:dyDescent="0.3"/>
  <cols>
    <col min="8" max="8" width="9.6640625" customWidth="1"/>
    <col min="9" max="9" width="8.88671875" customWidth="1"/>
    <col min="10" max="10" width="10.88671875" customWidth="1"/>
  </cols>
  <sheetData>
    <row r="3" spans="3:21" ht="15" thickBot="1" x14ac:dyDescent="0.35"/>
    <row r="4" spans="3:21" ht="31.2" customHeight="1" thickBot="1" x14ac:dyDescent="0.35">
      <c r="C4" s="39" t="s">
        <v>0</v>
      </c>
      <c r="D4" s="40" t="s">
        <v>1</v>
      </c>
      <c r="E4" s="40" t="s">
        <v>2</v>
      </c>
      <c r="F4" s="41" t="s">
        <v>28</v>
      </c>
      <c r="G4" s="40" t="b">
        <v>1</v>
      </c>
      <c r="H4" s="52" t="s">
        <v>56</v>
      </c>
      <c r="I4" s="52" t="s">
        <v>55</v>
      </c>
      <c r="J4" s="40" t="s">
        <v>12</v>
      </c>
      <c r="K4" s="42" t="s">
        <v>13</v>
      </c>
      <c r="M4" t="s">
        <v>27</v>
      </c>
      <c r="T4" t="s">
        <v>25</v>
      </c>
      <c r="U4" t="s">
        <v>26</v>
      </c>
    </row>
    <row r="5" spans="3:21" x14ac:dyDescent="0.3">
      <c r="C5" s="28">
        <v>5000</v>
      </c>
      <c r="D5" s="1">
        <v>741</v>
      </c>
      <c r="E5" s="1">
        <v>297</v>
      </c>
      <c r="F5" s="29">
        <v>367</v>
      </c>
      <c r="G5" s="1">
        <v>1.86</v>
      </c>
      <c r="H5" s="1">
        <v>1.03</v>
      </c>
      <c r="I5" s="50">
        <f>(LM!B$17+LM!B$18*H5)*'CP 1'!O$20</f>
        <v>3.1800752767228091</v>
      </c>
      <c r="J5" s="37" t="str">
        <f>_xlfn.CONCAT("[",ROUND(MAX(0,H5-(LM!B$17+LM!B$18*H5)*'CP 1'!O$20),2),", ",ROUND(H5+(LM!B$17+LM!B$18*H5)*'CP 1'!O$20,2),"]")</f>
        <v>[0, 4.21]</v>
      </c>
      <c r="K5" s="49">
        <f>IF(AND(G5&gt;=T5,G5&lt;=U5),1,0)</f>
        <v>1</v>
      </c>
      <c r="M5">
        <f>AVERAGE(K5:K36)</f>
        <v>0.9375</v>
      </c>
      <c r="T5">
        <f>ROUND(MAX(0,H5-(LM!B$17+LM!B$18*H5)*'CP 1'!O$20),2)</f>
        <v>0</v>
      </c>
      <c r="U5">
        <f>ROUND(H5+(LM!B$17+LM!B$18*H5)*'CP 1'!O$20,2)</f>
        <v>4.21</v>
      </c>
    </row>
    <row r="6" spans="3:21" ht="11.4" customHeight="1" x14ac:dyDescent="0.3">
      <c r="C6" s="28">
        <v>5001</v>
      </c>
      <c r="D6" s="1">
        <v>948</v>
      </c>
      <c r="E6" s="1">
        <v>638</v>
      </c>
      <c r="F6" s="29">
        <v>785</v>
      </c>
      <c r="G6" s="1">
        <v>11.42</v>
      </c>
      <c r="H6" s="1">
        <v>12.83</v>
      </c>
      <c r="I6" s="50">
        <f>(LM!B$17+LM!B$18*H6)*'CP 1'!O$20</f>
        <v>8.8924015092331121</v>
      </c>
      <c r="J6" s="37" t="str">
        <f>_xlfn.CONCAT("[",ROUND(MAX(0,H6-(LM!B$17+LM!B$18*H6)*'CP 1'!O$20),2),", ",ROUND(H6+(LM!B$17+LM!B$18*H6)*'CP 1'!O$20,2),"]")</f>
        <v>[3.94, 21.72]</v>
      </c>
      <c r="K6" s="29">
        <f t="shared" ref="K6:K36" si="0">IF(AND(G6&gt;=T6,G6&lt;=U6),1,0)</f>
        <v>1</v>
      </c>
      <c r="T6">
        <f>ROUND(MAX(0,H6-(LM!B$17+LM!B$18*H6)*'CP 1'!O$20),2)</f>
        <v>3.94</v>
      </c>
      <c r="U6">
        <f>ROUND(H6+(LM!B$17+LM!B$18*H6)*'CP 1'!O$20,2)</f>
        <v>21.72</v>
      </c>
    </row>
    <row r="7" spans="3:21" ht="11.4" customHeight="1" x14ac:dyDescent="0.3">
      <c r="C7" s="28">
        <v>5002</v>
      </c>
      <c r="D7" s="1">
        <v>100</v>
      </c>
      <c r="E7" s="1">
        <v>241</v>
      </c>
      <c r="F7" s="29">
        <v>150</v>
      </c>
      <c r="G7" s="1">
        <v>6.11</v>
      </c>
      <c r="H7" s="1">
        <v>4.8</v>
      </c>
      <c r="I7" s="50">
        <f>(LM!B$17+LM!B$18*H7)*'CP 1'!O$20</f>
        <v>5.0051150984655077</v>
      </c>
      <c r="J7" s="37" t="str">
        <f>_xlfn.CONCAT("[",ROUND(MAX(0,H7-(LM!B$17+LM!B$18*H7)*'CP 1'!O$20),2),", ",ROUND(H7+(LM!B$17+LM!B$18*H7)*'CP 1'!O$20,2),"]")</f>
        <v>[0, 9.81]</v>
      </c>
      <c r="K7" s="29">
        <f t="shared" si="0"/>
        <v>1</v>
      </c>
      <c r="T7">
        <f>ROUND(MAX(0,H7-(LM!B$17+LM!B$18*H7)*'CP 1'!O$20),2)</f>
        <v>0</v>
      </c>
      <c r="U7">
        <f>ROUND(H7+(LM!B$17+LM!B$18*H7)*'CP 1'!O$20,2)</f>
        <v>9.81</v>
      </c>
    </row>
    <row r="8" spans="3:21" ht="11.4" customHeight="1" x14ac:dyDescent="0.3">
      <c r="C8" s="28">
        <v>5003</v>
      </c>
      <c r="D8" s="1">
        <v>708</v>
      </c>
      <c r="E8" s="1">
        <v>310</v>
      </c>
      <c r="F8" s="29">
        <v>747</v>
      </c>
      <c r="G8" s="1">
        <v>0</v>
      </c>
      <c r="H8" s="1">
        <v>0.1</v>
      </c>
      <c r="I8" s="50">
        <f>(LM!B$17+LM!B$18*H8)*'CP 1'!O$20</f>
        <v>2.7298665143300478</v>
      </c>
      <c r="J8" s="37" t="str">
        <f>_xlfn.CONCAT("[",ROUND(MAX(0,H8-(LM!B$17+LM!B$18*H8)*'CP 1'!O$20),2),", ",ROUND(H8+(LM!B$17+LM!B$18*H8)*'CP 1'!O$20,2),"]")</f>
        <v>[0, 2.83]</v>
      </c>
      <c r="K8" s="29">
        <f t="shared" si="0"/>
        <v>1</v>
      </c>
      <c r="T8">
        <f>ROUND(MAX(0,H8-(LM!B$17+LM!B$18*H8)*'CP 1'!O$20),2)</f>
        <v>0</v>
      </c>
      <c r="U8">
        <f>ROUND(H8+(LM!B$17+LM!B$18*H8)*'CP 1'!O$20,2)</f>
        <v>2.83</v>
      </c>
    </row>
    <row r="9" spans="3:21" ht="11.4" customHeight="1" x14ac:dyDescent="0.3">
      <c r="C9" s="28">
        <v>5004</v>
      </c>
      <c r="D9" s="1">
        <v>20</v>
      </c>
      <c r="E9" s="1">
        <v>763</v>
      </c>
      <c r="F9" s="29">
        <v>305</v>
      </c>
      <c r="G9" s="1">
        <v>0.55000000000000004</v>
      </c>
      <c r="H9" s="1">
        <v>2.23</v>
      </c>
      <c r="I9" s="50">
        <f>(LM!B$17+LM!B$18*H9)*'CP 1'!O$20</f>
        <v>3.7609898088425009</v>
      </c>
      <c r="J9" s="37" t="str">
        <f>_xlfn.CONCAT("[",ROUND(MAX(0,H9-(LM!B$17+LM!B$18*H9)*'CP 1'!O$20),2),", ",ROUND(H9+(LM!B$17+LM!B$18*H9)*'CP 1'!O$20,2),"]")</f>
        <v>[0, 5.99]</v>
      </c>
      <c r="K9" s="29">
        <f t="shared" si="0"/>
        <v>1</v>
      </c>
      <c r="T9">
        <f>ROUND(MAX(0,H9-(LM!B$17+LM!B$18*H9)*'CP 1'!O$20),2)</f>
        <v>0</v>
      </c>
      <c r="U9">
        <f>ROUND(H9+(LM!B$17+LM!B$18*H9)*'CP 1'!O$20,2)</f>
        <v>5.99</v>
      </c>
    </row>
    <row r="10" spans="3:21" ht="11.4" customHeight="1" x14ac:dyDescent="0.3">
      <c r="C10" s="28">
        <v>5005</v>
      </c>
      <c r="D10" s="1">
        <v>124</v>
      </c>
      <c r="E10" s="1">
        <v>764</v>
      </c>
      <c r="F10" s="29">
        <v>770</v>
      </c>
      <c r="G10" s="1">
        <v>3.88</v>
      </c>
      <c r="H10" s="1">
        <v>1.33</v>
      </c>
      <c r="I10" s="50">
        <f>(LM!B$17+LM!B$18*H10)*'CP 1'!O$20</f>
        <v>3.3253039097527322</v>
      </c>
      <c r="J10" s="37" t="str">
        <f>_xlfn.CONCAT("[",ROUND(MAX(0,H10-(LM!B$17+LM!B$18*H10)*'CP 1'!O$20),2),", ",ROUND(H10+(LM!B$17+LM!B$18*H10)*'CP 1'!O$20,2),"]")</f>
        <v>[0, 4.66]</v>
      </c>
      <c r="K10" s="29">
        <f t="shared" si="0"/>
        <v>1</v>
      </c>
      <c r="T10">
        <f>ROUND(MAX(0,H10-(LM!B$17+LM!B$18*H10)*'CP 1'!O$20),2)</f>
        <v>0</v>
      </c>
      <c r="U10">
        <f>ROUND(H10+(LM!B$17+LM!B$18*H10)*'CP 1'!O$20,2)</f>
        <v>4.66</v>
      </c>
    </row>
    <row r="11" spans="3:21" ht="11.4" customHeight="1" x14ac:dyDescent="0.3">
      <c r="C11" s="28">
        <v>5006</v>
      </c>
      <c r="D11" s="1">
        <v>836</v>
      </c>
      <c r="E11" s="1">
        <v>510</v>
      </c>
      <c r="F11" s="29">
        <v>175</v>
      </c>
      <c r="G11" s="1">
        <v>0</v>
      </c>
      <c r="H11" s="1">
        <v>1.38</v>
      </c>
      <c r="I11" s="50">
        <f>(LM!B$17+LM!B$18*H11)*'CP 1'!O$20</f>
        <v>3.349508681924386</v>
      </c>
      <c r="J11" s="37" t="str">
        <f>_xlfn.CONCAT("[",ROUND(MAX(0,H11-(LM!B$17+LM!B$18*H11)*'CP 1'!O$20),2),", ",ROUND(H11+(LM!B$17+LM!B$18*H11)*'CP 1'!O$20,2),"]")</f>
        <v>[0, 4.73]</v>
      </c>
      <c r="K11" s="29">
        <f t="shared" si="0"/>
        <v>1</v>
      </c>
      <c r="T11">
        <f>ROUND(MAX(0,H11-(LM!B$17+LM!B$18*H11)*'CP 1'!O$20),2)</f>
        <v>0</v>
      </c>
      <c r="U11">
        <f>ROUND(H11+(LM!B$17+LM!B$18*H11)*'CP 1'!O$20,2)</f>
        <v>4.7300000000000004</v>
      </c>
    </row>
    <row r="12" spans="3:21" ht="11.4" customHeight="1" x14ac:dyDescent="0.3">
      <c r="C12" s="28">
        <v>5007</v>
      </c>
      <c r="D12" s="1">
        <v>776</v>
      </c>
      <c r="E12" s="1">
        <v>615</v>
      </c>
      <c r="F12" s="29">
        <v>247</v>
      </c>
      <c r="G12" s="1">
        <v>7.2</v>
      </c>
      <c r="H12" s="1">
        <v>7.92</v>
      </c>
      <c r="I12" s="50">
        <f>(LM!B$17+LM!B$18*H12)*'CP 1'!O$20</f>
        <v>6.5154928819767068</v>
      </c>
      <c r="J12" s="37" t="str">
        <f>_xlfn.CONCAT("[",ROUND(MAX(0,H12-(LM!B$17+LM!B$18*H12)*'CP 1'!O$20),2),", ",ROUND(H12+(LM!B$17+LM!B$18*H12)*'CP 1'!O$20,2),"]")</f>
        <v>[1.4, 14.44]</v>
      </c>
      <c r="K12" s="29">
        <f t="shared" si="0"/>
        <v>1</v>
      </c>
      <c r="T12">
        <f>ROUND(MAX(0,H12-(LM!B$17+LM!B$18*H12)*'CP 1'!O$20),2)</f>
        <v>1.4</v>
      </c>
      <c r="U12">
        <f>ROUND(H12+(LM!B$17+LM!B$18*H12)*'CP 1'!O$20,2)</f>
        <v>14.44</v>
      </c>
    </row>
    <row r="13" spans="3:21" ht="11.4" customHeight="1" x14ac:dyDescent="0.3">
      <c r="C13" s="28">
        <v>5008</v>
      </c>
      <c r="D13" s="1">
        <v>112</v>
      </c>
      <c r="E13" s="1">
        <v>941</v>
      </c>
      <c r="F13" s="29">
        <v>110</v>
      </c>
      <c r="G13" s="1">
        <v>5.87</v>
      </c>
      <c r="H13" s="1">
        <v>4.72</v>
      </c>
      <c r="I13" s="50">
        <f>(LM!B$17+LM!B$18*H13)*'CP 1'!O$20</f>
        <v>4.9663874629908618</v>
      </c>
      <c r="J13" s="37" t="str">
        <f>_xlfn.CONCAT("[",ROUND(MAX(0,H13-(LM!B$17+LM!B$18*H13)*'CP 1'!O$20),2),", ",ROUND(H13+(LM!B$17+LM!B$18*H13)*'CP 1'!O$20,2),"]")</f>
        <v>[0, 9.69]</v>
      </c>
      <c r="K13" s="29">
        <f t="shared" si="0"/>
        <v>1</v>
      </c>
      <c r="T13">
        <f>ROUND(MAX(0,H13-(LM!B$17+LM!B$18*H13)*'CP 1'!O$20),2)</f>
        <v>0</v>
      </c>
      <c r="U13">
        <f>ROUND(H13+(LM!B$17+LM!B$18*H13)*'CP 1'!O$20,2)</f>
        <v>9.69</v>
      </c>
    </row>
    <row r="14" spans="3:21" ht="11.4" customHeight="1" x14ac:dyDescent="0.3">
      <c r="C14" s="28">
        <v>5009</v>
      </c>
      <c r="D14" s="1">
        <v>566</v>
      </c>
      <c r="E14" s="1">
        <v>293</v>
      </c>
      <c r="F14" s="29">
        <v>222</v>
      </c>
      <c r="G14" s="1">
        <v>0.18</v>
      </c>
      <c r="H14" s="1">
        <v>0.74</v>
      </c>
      <c r="I14" s="50">
        <f>(LM!B$17+LM!B$18*H14)*'CP 1'!O$20</f>
        <v>3.0396875981272165</v>
      </c>
      <c r="J14" s="37" t="str">
        <f>_xlfn.CONCAT("[",ROUND(MAX(0,H14-(LM!B$17+LM!B$18*H14)*'CP 1'!O$20),2),", ",ROUND(H14+(LM!B$17+LM!B$18*H14)*'CP 1'!O$20,2),"]")</f>
        <v>[0, 3.78]</v>
      </c>
      <c r="K14" s="29">
        <f t="shared" si="0"/>
        <v>1</v>
      </c>
      <c r="T14">
        <f>ROUND(MAX(0,H14-(LM!B$17+LM!B$18*H14)*'CP 1'!O$20),2)</f>
        <v>0</v>
      </c>
      <c r="U14">
        <f>ROUND(H14+(LM!B$17+LM!B$18*H14)*'CP 1'!O$20,2)</f>
        <v>3.78</v>
      </c>
    </row>
    <row r="15" spans="3:21" ht="11.4" customHeight="1" x14ac:dyDescent="0.3">
      <c r="C15" s="28">
        <v>5010</v>
      </c>
      <c r="D15" s="1">
        <v>827</v>
      </c>
      <c r="E15" s="1">
        <v>744</v>
      </c>
      <c r="F15" s="29">
        <v>450</v>
      </c>
      <c r="G15" s="1">
        <v>14.25</v>
      </c>
      <c r="H15" s="1">
        <v>18.53</v>
      </c>
      <c r="I15" s="50">
        <f>(LM!B$17+LM!B$18*H15)*'CP 1'!O$20</f>
        <v>11.65174553680165</v>
      </c>
      <c r="J15" s="37" t="str">
        <f>_xlfn.CONCAT("[",ROUND(MAX(0,H15-(LM!B$17+LM!B$18*H15)*'CP 1'!O$20),2),", ",ROUND(H15+(LM!B$17+LM!B$18*H15)*'CP 1'!O$20,2),"]")</f>
        <v>[6.88, 30.18]</v>
      </c>
      <c r="K15" s="29">
        <f t="shared" si="0"/>
        <v>1</v>
      </c>
      <c r="T15">
        <f>ROUND(MAX(0,H15-(LM!B$17+LM!B$18*H15)*'CP 1'!O$20),2)</f>
        <v>6.88</v>
      </c>
      <c r="U15">
        <f>ROUND(H15+(LM!B$17+LM!B$18*H15)*'CP 1'!O$20,2)</f>
        <v>30.18</v>
      </c>
    </row>
    <row r="16" spans="3:21" ht="11.4" customHeight="1" x14ac:dyDescent="0.3">
      <c r="C16" s="28">
        <v>5011</v>
      </c>
      <c r="D16" s="1">
        <v>740</v>
      </c>
      <c r="E16" s="1">
        <v>533</v>
      </c>
      <c r="F16" s="29">
        <v>348</v>
      </c>
      <c r="G16" s="1">
        <v>12.77</v>
      </c>
      <c r="H16" s="1">
        <v>7.23</v>
      </c>
      <c r="I16" s="50">
        <f>(LM!B$17+LM!B$18*H16)*'CP 1'!O$20</f>
        <v>6.1814670260078834</v>
      </c>
      <c r="J16" s="37" t="str">
        <f>_xlfn.CONCAT("[",ROUND(MAX(0,H16-(LM!B$17+LM!B$18*H16)*'CP 1'!O$20),2),", ",ROUND(H16+(LM!B$17+LM!B$18*H16)*'CP 1'!O$20,2),"]")</f>
        <v>[1.05, 13.41]</v>
      </c>
      <c r="K16" s="29">
        <f t="shared" si="0"/>
        <v>1</v>
      </c>
      <c r="T16">
        <f>ROUND(MAX(0,H16-(LM!B$17+LM!B$18*H16)*'CP 1'!O$20),2)</f>
        <v>1.05</v>
      </c>
      <c r="U16">
        <f>ROUND(H16+(LM!B$17+LM!B$18*H16)*'CP 1'!O$20,2)</f>
        <v>13.41</v>
      </c>
    </row>
    <row r="17" spans="3:21" ht="11.4" customHeight="1" x14ac:dyDescent="0.3">
      <c r="C17" s="28">
        <v>5012</v>
      </c>
      <c r="D17" s="1">
        <v>290</v>
      </c>
      <c r="E17" s="1">
        <v>900</v>
      </c>
      <c r="F17" s="29">
        <v>418</v>
      </c>
      <c r="G17" s="1">
        <v>0.7</v>
      </c>
      <c r="H17" s="1">
        <v>1.94</v>
      </c>
      <c r="I17" s="50">
        <f>(LM!B$17+LM!B$18*H17)*'CP 1'!O$20</f>
        <v>3.6206021302469087</v>
      </c>
      <c r="J17" s="37" t="str">
        <f>_xlfn.CONCAT("[",ROUND(MAX(0,H17-(LM!B$17+LM!B$18*H17)*'CP 1'!O$20),2),", ",ROUND(H17+(LM!B$17+LM!B$18*H17)*'CP 1'!O$20,2),"]")</f>
        <v>[0, 5.56]</v>
      </c>
      <c r="K17" s="29">
        <f t="shared" si="0"/>
        <v>1</v>
      </c>
      <c r="T17">
        <f>ROUND(MAX(0,H17-(LM!B$17+LM!B$18*H17)*'CP 1'!O$20),2)</f>
        <v>0</v>
      </c>
      <c r="U17">
        <f>ROUND(H17+(LM!B$17+LM!B$18*H17)*'CP 1'!O$20,2)</f>
        <v>5.56</v>
      </c>
    </row>
    <row r="18" spans="3:21" ht="11.4" customHeight="1" x14ac:dyDescent="0.3">
      <c r="C18" s="28">
        <v>5013</v>
      </c>
      <c r="D18" s="1">
        <v>530</v>
      </c>
      <c r="E18" s="1">
        <v>895</v>
      </c>
      <c r="F18" s="29">
        <v>401</v>
      </c>
      <c r="G18" s="1">
        <v>5.13</v>
      </c>
      <c r="H18" s="1">
        <v>0.08</v>
      </c>
      <c r="I18" s="50">
        <f>(LM!B$17+LM!B$18*H18)*'CP 1'!O$20</f>
        <v>2.7201846054613865</v>
      </c>
      <c r="J18" s="37" t="str">
        <f>_xlfn.CONCAT("[",ROUND(MAX(0,H18-(LM!B$17+LM!B$18*H18)*'CP 1'!O$20),2),", ",ROUND(H18+(LM!B$17+LM!B$18*H18)*'CP 1'!O$20,2),"]")</f>
        <v>[0, 2.8]</v>
      </c>
      <c r="K18" s="29">
        <f t="shared" si="0"/>
        <v>0</v>
      </c>
      <c r="T18">
        <f>ROUND(MAX(0,H18-(LM!B$17+LM!B$18*H18)*'CP 1'!O$20),2)</f>
        <v>0</v>
      </c>
      <c r="U18">
        <f>ROUND(H18+(LM!B$17+LM!B$18*H18)*'CP 1'!O$20,2)</f>
        <v>2.8</v>
      </c>
    </row>
    <row r="19" spans="3:21" ht="11.4" customHeight="1" x14ac:dyDescent="0.3">
      <c r="C19" s="28">
        <v>5014</v>
      </c>
      <c r="D19" s="1">
        <v>471</v>
      </c>
      <c r="E19" s="1">
        <v>252</v>
      </c>
      <c r="F19" s="29">
        <v>616</v>
      </c>
      <c r="G19" s="1">
        <v>1.96</v>
      </c>
      <c r="H19" s="1">
        <v>0.81</v>
      </c>
      <c r="I19" s="50">
        <f>(LM!B$17+LM!B$18*H19)*'CP 1'!O$20</f>
        <v>3.073574279167532</v>
      </c>
      <c r="J19" s="37" t="str">
        <f>_xlfn.CONCAT("[",ROUND(MAX(0,H19-(LM!B$17+LM!B$18*H19)*'CP 1'!O$20),2),", ",ROUND(H19+(LM!B$17+LM!B$18*H19)*'CP 1'!O$20,2),"]")</f>
        <v>[0, 3.88]</v>
      </c>
      <c r="K19" s="29">
        <f t="shared" si="0"/>
        <v>1</v>
      </c>
      <c r="T19">
        <f>ROUND(MAX(0,H19-(LM!B$17+LM!B$18*H19)*'CP 1'!O$20),2)</f>
        <v>0</v>
      </c>
      <c r="U19">
        <f>ROUND(H19+(LM!B$17+LM!B$18*H19)*'CP 1'!O$20,2)</f>
        <v>3.88</v>
      </c>
    </row>
    <row r="20" spans="3:21" ht="11.4" customHeight="1" x14ac:dyDescent="0.3">
      <c r="C20" s="28">
        <v>5015</v>
      </c>
      <c r="D20" s="1">
        <v>817</v>
      </c>
      <c r="E20" s="1">
        <v>429</v>
      </c>
      <c r="F20" s="29">
        <v>366</v>
      </c>
      <c r="G20" s="1">
        <v>18</v>
      </c>
      <c r="H20" s="1">
        <v>22.95</v>
      </c>
      <c r="I20" s="50">
        <f>(LM!B$17+LM!B$18*H20)*'CP 1'!O$20</f>
        <v>13.791447396775848</v>
      </c>
      <c r="J20" s="37" t="str">
        <f>_xlfn.CONCAT("[",ROUND(MAX(0,H20-(LM!B$17+LM!B$18*H20)*'CP 1'!O$20),2),", ",ROUND(H20+(LM!B$17+LM!B$18*H20)*'CP 1'!O$20,2),"]")</f>
        <v>[9.16, 36.74]</v>
      </c>
      <c r="K20" s="29">
        <f t="shared" si="0"/>
        <v>1</v>
      </c>
      <c r="T20">
        <f>ROUND(MAX(0,H20-(LM!B$17+LM!B$18*H20)*'CP 1'!O$20),2)</f>
        <v>9.16</v>
      </c>
      <c r="U20">
        <f>ROUND(H20+(LM!B$17+LM!B$18*H20)*'CP 1'!O$20,2)</f>
        <v>36.74</v>
      </c>
    </row>
    <row r="21" spans="3:21" ht="11.4" customHeight="1" x14ac:dyDescent="0.3">
      <c r="C21" s="28">
        <v>5016</v>
      </c>
      <c r="D21" s="1">
        <v>947</v>
      </c>
      <c r="E21" s="1">
        <v>73</v>
      </c>
      <c r="F21" s="29">
        <v>185</v>
      </c>
      <c r="G21" s="1">
        <v>9.8000000000000007</v>
      </c>
      <c r="H21" s="1">
        <v>17.82</v>
      </c>
      <c r="I21" s="50">
        <f>(LM!B$17+LM!B$18*H21)*'CP 1'!O$20</f>
        <v>11.308037771964164</v>
      </c>
      <c r="J21" s="37" t="str">
        <f>_xlfn.CONCAT("[",ROUND(MAX(0,H21-(LM!B$17+LM!B$18*H21)*'CP 1'!O$20),2),", ",ROUND(H21+(LM!B$17+LM!B$18*H21)*'CP 1'!O$20,2),"]")</f>
        <v>[6.51, 29.13]</v>
      </c>
      <c r="K21" s="29">
        <f t="shared" si="0"/>
        <v>1</v>
      </c>
      <c r="T21">
        <f>ROUND(MAX(0,H21-(LM!B$17+LM!B$18*H21)*'CP 1'!O$20),2)</f>
        <v>6.51</v>
      </c>
      <c r="U21">
        <f>ROUND(H21+(LM!B$17+LM!B$18*H21)*'CP 1'!O$20,2)</f>
        <v>29.13</v>
      </c>
    </row>
    <row r="22" spans="3:21" ht="11.4" customHeight="1" x14ac:dyDescent="0.3">
      <c r="C22" s="28">
        <v>5017</v>
      </c>
      <c r="D22" s="1">
        <v>132</v>
      </c>
      <c r="E22" s="1">
        <v>351</v>
      </c>
      <c r="F22" s="29">
        <v>662</v>
      </c>
      <c r="G22" s="1">
        <v>9.86</v>
      </c>
      <c r="H22" s="1">
        <v>1.72</v>
      </c>
      <c r="I22" s="50">
        <f>(LM!B$17+LM!B$18*H22)*'CP 1'!O$20</f>
        <v>3.514101132691632</v>
      </c>
      <c r="J22" s="37" t="str">
        <f>_xlfn.CONCAT("[",ROUND(MAX(0,H22-(LM!B$17+LM!B$18*H22)*'CP 1'!O$20),2),", ",ROUND(H22+(LM!B$17+LM!B$18*H22)*'CP 1'!O$20,2),"]")</f>
        <v>[0, 5.23]</v>
      </c>
      <c r="K22" s="29">
        <f t="shared" si="0"/>
        <v>0</v>
      </c>
      <c r="T22">
        <f>ROUND(MAX(0,H22-(LM!B$17+LM!B$18*H22)*'CP 1'!O$20),2)</f>
        <v>0</v>
      </c>
      <c r="U22">
        <f>ROUND(H22+(LM!B$17+LM!B$18*H22)*'CP 1'!O$20,2)</f>
        <v>5.23</v>
      </c>
    </row>
    <row r="23" spans="3:21" ht="11.4" customHeight="1" x14ac:dyDescent="0.3">
      <c r="C23" s="28">
        <v>5018</v>
      </c>
      <c r="D23" s="1">
        <v>71</v>
      </c>
      <c r="E23" s="1">
        <v>309</v>
      </c>
      <c r="F23" s="29">
        <v>135</v>
      </c>
      <c r="G23" s="1">
        <v>0.06</v>
      </c>
      <c r="H23" s="1">
        <v>1.93</v>
      </c>
      <c r="I23" s="50">
        <f>(LM!B$17+LM!B$18*H23)*'CP 1'!O$20</f>
        <v>3.6157611758125778</v>
      </c>
      <c r="J23" s="37" t="str">
        <f>_xlfn.CONCAT("[",ROUND(MAX(0,H23-(LM!B$17+LM!B$18*H23)*'CP 1'!O$20),2),", ",ROUND(H23+(LM!B$17+LM!B$18*H23)*'CP 1'!O$20,2),"]")</f>
        <v>[0, 5.55]</v>
      </c>
      <c r="K23" s="29">
        <f t="shared" si="0"/>
        <v>1</v>
      </c>
      <c r="T23">
        <f>ROUND(MAX(0,H23-(LM!B$17+LM!B$18*H23)*'CP 1'!O$20),2)</f>
        <v>0</v>
      </c>
      <c r="U23">
        <f>ROUND(H23+(LM!B$17+LM!B$18*H23)*'CP 1'!O$20,2)</f>
        <v>5.55</v>
      </c>
    </row>
    <row r="24" spans="3:21" ht="11.4" customHeight="1" x14ac:dyDescent="0.3">
      <c r="C24" s="28">
        <v>5019</v>
      </c>
      <c r="D24" s="1">
        <v>454</v>
      </c>
      <c r="E24" s="1">
        <v>562</v>
      </c>
      <c r="F24" s="29">
        <v>768</v>
      </c>
      <c r="G24" s="1">
        <v>14.28</v>
      </c>
      <c r="H24" s="1">
        <v>22.8</v>
      </c>
      <c r="I24" s="50">
        <f>(LM!B$17+LM!B$18*H24)*'CP 1'!O$20</f>
        <v>13.718833080260888</v>
      </c>
      <c r="J24" s="37" t="str">
        <f>_xlfn.CONCAT("[",ROUND(MAX(0,H24-(LM!B$17+LM!B$18*H24)*'CP 1'!O$20),2),", ",ROUND(H24+(LM!B$17+LM!B$18*H24)*'CP 1'!O$20,2),"]")</f>
        <v>[9.08, 36.52]</v>
      </c>
      <c r="K24" s="29">
        <f t="shared" si="0"/>
        <v>1</v>
      </c>
      <c r="T24">
        <f>ROUND(MAX(0,H24-(LM!B$17+LM!B$18*H24)*'CP 1'!O$20),2)</f>
        <v>9.08</v>
      </c>
      <c r="U24">
        <f>ROUND(H24+(LM!B$17+LM!B$18*H24)*'CP 1'!O$20,2)</f>
        <v>36.520000000000003</v>
      </c>
    </row>
    <row r="25" spans="3:21" ht="11.4" customHeight="1" x14ac:dyDescent="0.3">
      <c r="C25" s="28">
        <v>5020</v>
      </c>
      <c r="D25" s="1">
        <v>5</v>
      </c>
      <c r="E25" s="1">
        <v>22</v>
      </c>
      <c r="F25" s="29">
        <v>461</v>
      </c>
      <c r="G25" s="1">
        <v>4.4800000000000004</v>
      </c>
      <c r="H25" s="1">
        <v>1.49</v>
      </c>
      <c r="I25" s="50">
        <f>(LM!B$17+LM!B$18*H25)*'CP 1'!O$20</f>
        <v>3.4027591807020241</v>
      </c>
      <c r="J25" s="37" t="str">
        <f>_xlfn.CONCAT("[",ROUND(MAX(0,H25-(LM!B$17+LM!B$18*H25)*'CP 1'!O$20),2),", ",ROUND(H25+(LM!B$17+LM!B$18*H25)*'CP 1'!O$20,2),"]")</f>
        <v>[0, 4.89]</v>
      </c>
      <c r="K25" s="29">
        <f t="shared" si="0"/>
        <v>1</v>
      </c>
      <c r="T25">
        <f>ROUND(MAX(0,H25-(LM!B$17+LM!B$18*H25)*'CP 1'!O$20),2)</f>
        <v>0</v>
      </c>
      <c r="U25">
        <f>ROUND(H25+(LM!B$17+LM!B$18*H25)*'CP 1'!O$20,2)</f>
        <v>4.8899999999999997</v>
      </c>
    </row>
    <row r="26" spans="3:21" ht="11.4" customHeight="1" x14ac:dyDescent="0.3">
      <c r="C26" s="28">
        <v>5021</v>
      </c>
      <c r="D26" s="1">
        <v>172</v>
      </c>
      <c r="E26" s="1">
        <v>667</v>
      </c>
      <c r="F26" s="29">
        <v>574</v>
      </c>
      <c r="G26" s="1">
        <v>0.02</v>
      </c>
      <c r="H26" s="1">
        <v>1.75</v>
      </c>
      <c r="I26" s="50">
        <f>(LM!B$17+LM!B$18*H26)*'CP 1'!O$20</f>
        <v>3.5286239959946246</v>
      </c>
      <c r="J26" s="37" t="str">
        <f>_xlfn.CONCAT("[",ROUND(MAX(0,H26-(LM!B$17+LM!B$18*H26)*'CP 1'!O$20),2),", ",ROUND(H26+(LM!B$17+LM!B$18*H26)*'CP 1'!O$20,2),"]")</f>
        <v>[0, 5.28]</v>
      </c>
      <c r="K26" s="29">
        <f t="shared" si="0"/>
        <v>1</v>
      </c>
      <c r="T26">
        <f>ROUND(MAX(0,H26-(LM!B$17+LM!B$18*H26)*'CP 1'!O$20),2)</f>
        <v>0</v>
      </c>
      <c r="U26">
        <f>ROUND(H26+(LM!B$17+LM!B$18*H26)*'CP 1'!O$20,2)</f>
        <v>5.28</v>
      </c>
    </row>
    <row r="27" spans="3:21" ht="11.4" customHeight="1" x14ac:dyDescent="0.3">
      <c r="C27" s="28">
        <v>5022</v>
      </c>
      <c r="D27" s="1">
        <v>117</v>
      </c>
      <c r="E27" s="1">
        <v>96</v>
      </c>
      <c r="F27" s="29">
        <v>271</v>
      </c>
      <c r="G27" s="1">
        <v>1.55</v>
      </c>
      <c r="H27" s="1">
        <v>5.35</v>
      </c>
      <c r="I27" s="50">
        <f>(LM!B$17+LM!B$18*H27)*'CP 1'!O$20</f>
        <v>5.2713675923537</v>
      </c>
      <c r="J27" s="37" t="str">
        <f>_xlfn.CONCAT("[",ROUND(MAX(0,H27-(LM!B$17+LM!B$18*H27)*'CP 1'!O$20),2),", ",ROUND(H27+(LM!B$17+LM!B$18*H27)*'CP 1'!O$20,2),"]")</f>
        <v>[0.08, 10.62]</v>
      </c>
      <c r="K27" s="29">
        <f t="shared" si="0"/>
        <v>1</v>
      </c>
      <c r="T27">
        <f>ROUND(MAX(0,H27-(LM!B$17+LM!B$18*H27)*'CP 1'!O$20),2)</f>
        <v>0.08</v>
      </c>
      <c r="U27">
        <f>ROUND(H27+(LM!B$17+LM!B$18*H27)*'CP 1'!O$20,2)</f>
        <v>10.62</v>
      </c>
    </row>
    <row r="28" spans="3:21" ht="11.4" customHeight="1" x14ac:dyDescent="0.3">
      <c r="C28" s="28">
        <v>5023</v>
      </c>
      <c r="D28" s="1">
        <v>481</v>
      </c>
      <c r="E28" s="1">
        <v>267</v>
      </c>
      <c r="F28" s="29">
        <v>393</v>
      </c>
      <c r="G28" s="1">
        <v>3.44</v>
      </c>
      <c r="H28" s="1">
        <v>1.25</v>
      </c>
      <c r="I28" s="50">
        <f>(LM!B$17+LM!B$18*H28)*'CP 1'!O$20</f>
        <v>3.2865762742780857</v>
      </c>
      <c r="J28" s="37" t="str">
        <f>_xlfn.CONCAT("[",ROUND(MAX(0,H28-(LM!B$17+LM!B$18*H28)*'CP 1'!O$20),2),", ",ROUND(H28+(LM!B$17+LM!B$18*H28)*'CP 1'!O$20,2),"]")</f>
        <v>[0, 4.54]</v>
      </c>
      <c r="K28" s="29">
        <f t="shared" si="0"/>
        <v>1</v>
      </c>
      <c r="T28">
        <f>ROUND(MAX(0,H28-(LM!B$17+LM!B$18*H28)*'CP 1'!O$20),2)</f>
        <v>0</v>
      </c>
      <c r="U28">
        <f>ROUND(H28+(LM!B$17+LM!B$18*H28)*'CP 1'!O$20,2)</f>
        <v>4.54</v>
      </c>
    </row>
    <row r="29" spans="3:21" ht="11.4" customHeight="1" x14ac:dyDescent="0.3">
      <c r="C29" s="28">
        <v>5024</v>
      </c>
      <c r="D29" s="1">
        <v>470</v>
      </c>
      <c r="E29" s="1">
        <v>833</v>
      </c>
      <c r="F29" s="29">
        <v>331</v>
      </c>
      <c r="G29" s="1">
        <v>4.13</v>
      </c>
      <c r="H29" s="1">
        <v>5.09</v>
      </c>
      <c r="I29" s="50">
        <f>(LM!B$17+LM!B$18*H29)*'CP 1'!O$20</f>
        <v>5.1455027770610995</v>
      </c>
      <c r="J29" s="37" t="str">
        <f>_xlfn.CONCAT("[",ROUND(MAX(0,H29-(LM!B$17+LM!B$18*H29)*'CP 1'!O$20),2),", ",ROUND(H29+(LM!B$17+LM!B$18*H29)*'CP 1'!O$20,2),"]")</f>
        <v>[0, 10.24]</v>
      </c>
      <c r="K29" s="29">
        <f t="shared" si="0"/>
        <v>1</v>
      </c>
      <c r="T29">
        <f>ROUND(MAX(0,H29-(LM!B$17+LM!B$18*H29)*'CP 1'!O$20),2)</f>
        <v>0</v>
      </c>
      <c r="U29">
        <f>ROUND(H29+(LM!B$17+LM!B$18*H29)*'CP 1'!O$20,2)</f>
        <v>10.24</v>
      </c>
    </row>
    <row r="30" spans="3:21" ht="11.4" customHeight="1" x14ac:dyDescent="0.3">
      <c r="C30" s="28">
        <v>5025</v>
      </c>
      <c r="D30" s="1">
        <v>8</v>
      </c>
      <c r="E30" s="1">
        <v>138</v>
      </c>
      <c r="F30" s="29">
        <v>293</v>
      </c>
      <c r="G30" s="1">
        <v>0.01</v>
      </c>
      <c r="H30" s="1">
        <v>0.5</v>
      </c>
      <c r="I30" s="50">
        <f>(LM!B$17+LM!B$18*H30)*'CP 1'!O$20</f>
        <v>2.9235046917032785</v>
      </c>
      <c r="J30" s="37" t="str">
        <f>_xlfn.CONCAT("[",ROUND(MAX(0,H30-(LM!B$17+LM!B$18*H30)*'CP 1'!O$20),2),", ",ROUND(H30+(LM!B$17+LM!B$18*H30)*'CP 1'!O$20,2),"]")</f>
        <v>[0, 3.42]</v>
      </c>
      <c r="K30" s="29">
        <f t="shared" si="0"/>
        <v>1</v>
      </c>
      <c r="T30">
        <f>ROUND(MAX(0,H30-(LM!B$17+LM!B$18*H30)*'CP 1'!O$20),2)</f>
        <v>0</v>
      </c>
      <c r="U30">
        <f>ROUND(H30+(LM!B$17+LM!B$18*H30)*'CP 1'!O$20,2)</f>
        <v>3.42</v>
      </c>
    </row>
    <row r="31" spans="3:21" ht="11.4" customHeight="1" x14ac:dyDescent="0.3">
      <c r="C31" s="28">
        <v>5026</v>
      </c>
      <c r="D31" s="1">
        <v>957</v>
      </c>
      <c r="E31" s="1">
        <v>100</v>
      </c>
      <c r="F31" s="29">
        <v>414</v>
      </c>
      <c r="G31" s="1">
        <v>2.5</v>
      </c>
      <c r="H31" s="1">
        <v>0.14000000000000001</v>
      </c>
      <c r="I31" s="50">
        <f>(LM!B$17+LM!B$18*H31)*'CP 1'!O$20</f>
        <v>2.7492303320673708</v>
      </c>
      <c r="J31" s="37" t="str">
        <f>_xlfn.CONCAT("[",ROUND(MAX(0,H31-(LM!B$17+LM!B$18*H31)*'CP 1'!O$20),2),", ",ROUND(H31+(LM!B$17+LM!B$18*H31)*'CP 1'!O$20,2),"]")</f>
        <v>[0, 2.89]</v>
      </c>
      <c r="K31" s="29">
        <f t="shared" si="0"/>
        <v>1</v>
      </c>
      <c r="T31">
        <f>ROUND(MAX(0,H31-(LM!B$17+LM!B$18*H31)*'CP 1'!O$20),2)</f>
        <v>0</v>
      </c>
      <c r="U31">
        <f>ROUND(H31+(LM!B$17+LM!B$18*H31)*'CP 1'!O$20,2)</f>
        <v>2.89</v>
      </c>
    </row>
    <row r="32" spans="3:21" ht="11.4" customHeight="1" x14ac:dyDescent="0.3">
      <c r="C32" s="28">
        <v>5027</v>
      </c>
      <c r="D32" s="1">
        <v>978</v>
      </c>
      <c r="E32" s="1">
        <v>939</v>
      </c>
      <c r="F32" s="29">
        <v>131</v>
      </c>
      <c r="G32" s="1">
        <v>2.66</v>
      </c>
      <c r="H32" s="1">
        <v>3.27</v>
      </c>
      <c r="I32" s="50">
        <f>(LM!B$17+LM!B$18*H32)*'CP 1'!O$20</f>
        <v>4.2644490700129003</v>
      </c>
      <c r="J32" s="37" t="str">
        <f>_xlfn.CONCAT("[",ROUND(MAX(0,H32-(LM!B$17+LM!B$18*H32)*'CP 1'!O$20),2),", ",ROUND(H32+(LM!B$17+LM!B$18*H32)*'CP 1'!O$20,2),"]")</f>
        <v>[0, 7.53]</v>
      </c>
      <c r="K32" s="29">
        <f t="shared" si="0"/>
        <v>1</v>
      </c>
      <c r="T32">
        <f>ROUND(MAX(0,H32-(LM!B$17+LM!B$18*H32)*'CP 1'!O$20),2)</f>
        <v>0</v>
      </c>
      <c r="U32">
        <f>ROUND(H32+(LM!B$17+LM!B$18*H32)*'CP 1'!O$20,2)</f>
        <v>7.53</v>
      </c>
    </row>
    <row r="33" spans="3:21" ht="11.4" customHeight="1" x14ac:dyDescent="0.3">
      <c r="C33" s="28">
        <v>5028</v>
      </c>
      <c r="D33" s="1">
        <v>353</v>
      </c>
      <c r="E33" s="1">
        <v>471</v>
      </c>
      <c r="F33" s="29">
        <v>976</v>
      </c>
      <c r="G33" s="1">
        <v>1.21</v>
      </c>
      <c r="H33" s="1">
        <v>0.87</v>
      </c>
      <c r="I33" s="50">
        <f>(LM!B$17+LM!B$18*H33)*'CP 1'!O$20</f>
        <v>3.1026200057735167</v>
      </c>
      <c r="J33" s="37" t="str">
        <f>_xlfn.CONCAT("[",ROUND(MAX(0,H33-(LM!B$17+LM!B$18*H33)*'CP 1'!O$20),2),", ",ROUND(H33+(LM!B$17+LM!B$18*H33)*'CP 1'!O$20,2),"]")</f>
        <v>[0, 3.97]</v>
      </c>
      <c r="K33" s="29">
        <f t="shared" si="0"/>
        <v>1</v>
      </c>
      <c r="T33">
        <f>ROUND(MAX(0,H33-(LM!B$17+LM!B$18*H33)*'CP 1'!O$20),2)</f>
        <v>0</v>
      </c>
      <c r="U33">
        <f>ROUND(H33+(LM!B$17+LM!B$18*H33)*'CP 1'!O$20,2)</f>
        <v>3.97</v>
      </c>
    </row>
    <row r="34" spans="3:21" ht="11.4" customHeight="1" x14ac:dyDescent="0.3">
      <c r="C34" s="28">
        <v>5029</v>
      </c>
      <c r="D34" s="1">
        <v>357</v>
      </c>
      <c r="E34" s="1">
        <v>575</v>
      </c>
      <c r="F34" s="29">
        <v>135</v>
      </c>
      <c r="G34" s="1">
        <v>7.11</v>
      </c>
      <c r="H34" s="1">
        <v>5.36</v>
      </c>
      <c r="I34" s="50">
        <f>(LM!B$17+LM!B$18*H34)*'CP 1'!O$20</f>
        <v>5.2762085467880304</v>
      </c>
      <c r="J34" s="37" t="str">
        <f>_xlfn.CONCAT("[",ROUND(MAX(0,H34-(LM!B$17+LM!B$18*H34)*'CP 1'!O$20),2),", ",ROUND(H34+(LM!B$17+LM!B$18*H34)*'CP 1'!O$20,2),"]")</f>
        <v>[0.08, 10.64]</v>
      </c>
      <c r="K34" s="29">
        <f t="shared" si="0"/>
        <v>1</v>
      </c>
      <c r="T34">
        <f>ROUND(MAX(0,H34-(LM!B$17+LM!B$18*H34)*'CP 1'!O$20),2)</f>
        <v>0.08</v>
      </c>
      <c r="U34">
        <f>ROUND(H34+(LM!B$17+LM!B$18*H34)*'CP 1'!O$20,2)</f>
        <v>10.64</v>
      </c>
    </row>
    <row r="35" spans="3:21" ht="11.4" customHeight="1" x14ac:dyDescent="0.3">
      <c r="C35" s="28">
        <v>5030</v>
      </c>
      <c r="D35" s="1">
        <v>26</v>
      </c>
      <c r="E35" s="1">
        <v>747</v>
      </c>
      <c r="F35" s="29">
        <v>775</v>
      </c>
      <c r="G35" s="1">
        <v>0.66</v>
      </c>
      <c r="H35" s="1">
        <v>0.64</v>
      </c>
      <c r="I35" s="50">
        <f>(LM!B$17+LM!B$18*H35)*'CP 1'!O$20</f>
        <v>2.9912780537839092</v>
      </c>
      <c r="J35" s="37" t="str">
        <f>_xlfn.CONCAT("[",ROUND(MAX(0,H35-(LM!B$17+LM!B$18*H35)*'CP 1'!O$20),2),", ",ROUND(H35+(LM!B$17+LM!B$18*H35)*'CP 1'!O$20,2),"]")</f>
        <v>[0, 3.63]</v>
      </c>
      <c r="K35" s="29">
        <f t="shared" si="0"/>
        <v>1</v>
      </c>
      <c r="T35">
        <f>ROUND(MAX(0,H35-(LM!B$17+LM!B$18*H35)*'CP 1'!O$20),2)</f>
        <v>0</v>
      </c>
      <c r="U35">
        <f>ROUND(H35+(LM!B$17+LM!B$18*H35)*'CP 1'!O$20,2)</f>
        <v>3.63</v>
      </c>
    </row>
    <row r="36" spans="3:21" ht="11.4" customHeight="1" x14ac:dyDescent="0.3">
      <c r="C36" s="30">
        <v>5031</v>
      </c>
      <c r="D36" s="35">
        <v>238</v>
      </c>
      <c r="E36" s="35">
        <v>855</v>
      </c>
      <c r="F36" s="31">
        <v>429</v>
      </c>
      <c r="G36" s="35">
        <v>6.73</v>
      </c>
      <c r="H36" s="35">
        <v>12.6</v>
      </c>
      <c r="I36" s="51">
        <f>(LM!B$17+LM!B$18*H36)*'CP 1'!O$20</f>
        <v>8.7810595572435055</v>
      </c>
      <c r="J36" s="38" t="str">
        <f>_xlfn.CONCAT("[",ROUND(MAX(0,H36-(LM!B$17+LM!B$18*H36)*'CP 1'!O$20),2),", ",ROUND(H36+(LM!B$17+LM!B$18*H36)*'CP 1'!O$20,2),"]")</f>
        <v>[3.82, 21.38]</v>
      </c>
      <c r="K36" s="31">
        <f t="shared" si="0"/>
        <v>1</v>
      </c>
      <c r="T36">
        <f>ROUND(MAX(0,H36-(LM!B$17+LM!B$18*H36)*'CP 1'!O$20),2)</f>
        <v>3.82</v>
      </c>
      <c r="U36">
        <f>ROUND(H36+(LM!B$17+LM!B$18*H36)*'CP 1'!O$20,2)</f>
        <v>21.38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9A5-19DF-4616-89CA-BBE45E13B3A7}">
  <dimension ref="A1:I18"/>
  <sheetViews>
    <sheetView workbookViewId="0">
      <selection activeCell="D21" sqref="D21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47" t="s">
        <v>32</v>
      </c>
      <c r="B3" s="47"/>
    </row>
    <row r="4" spans="1:9" x14ac:dyDescent="0.3">
      <c r="A4" t="s">
        <v>33</v>
      </c>
      <c r="B4">
        <v>0.65764259723193508</v>
      </c>
    </row>
    <row r="5" spans="1:9" x14ac:dyDescent="0.3">
      <c r="A5" t="s">
        <v>34</v>
      </c>
      <c r="B5">
        <v>0.43249378569396524</v>
      </c>
    </row>
    <row r="6" spans="1:9" x14ac:dyDescent="0.3">
      <c r="A6" t="s">
        <v>35</v>
      </c>
      <c r="B6">
        <v>0.39195762752924851</v>
      </c>
    </row>
    <row r="7" spans="1:9" x14ac:dyDescent="0.3">
      <c r="A7" t="s">
        <v>36</v>
      </c>
      <c r="B7">
        <v>2.1672033489715998</v>
      </c>
    </row>
    <row r="8" spans="1:9" ht="15" thickBot="1" x14ac:dyDescent="0.35">
      <c r="A8" s="45" t="s">
        <v>37</v>
      </c>
      <c r="B8" s="45">
        <v>16</v>
      </c>
    </row>
    <row r="10" spans="1:9" ht="15" thickBot="1" x14ac:dyDescent="0.35">
      <c r="A10" t="s">
        <v>38</v>
      </c>
    </row>
    <row r="11" spans="1:9" x14ac:dyDescent="0.3">
      <c r="A11" s="46"/>
      <c r="B11" s="46" t="s">
        <v>42</v>
      </c>
      <c r="C11" s="46" t="s">
        <v>43</v>
      </c>
      <c r="D11" s="46" t="s">
        <v>44</v>
      </c>
      <c r="E11" s="46" t="s">
        <v>45</v>
      </c>
      <c r="F11" s="46" t="s">
        <v>46</v>
      </c>
    </row>
    <row r="12" spans="1:9" x14ac:dyDescent="0.3">
      <c r="A12" t="s">
        <v>39</v>
      </c>
      <c r="B12">
        <v>1</v>
      </c>
      <c r="C12">
        <v>50.111408768887955</v>
      </c>
      <c r="D12">
        <v>50.111408768887955</v>
      </c>
      <c r="E12">
        <v>10.669333387158868</v>
      </c>
      <c r="F12">
        <v>5.6261683427865543E-3</v>
      </c>
    </row>
    <row r="13" spans="1:9" x14ac:dyDescent="0.3">
      <c r="A13" t="s">
        <v>9</v>
      </c>
      <c r="B13">
        <v>14</v>
      </c>
      <c r="C13">
        <v>65.754784981112053</v>
      </c>
      <c r="D13">
        <v>4.6967703557937179</v>
      </c>
    </row>
    <row r="14" spans="1:9" ht="15" thickBot="1" x14ac:dyDescent="0.35">
      <c r="A14" s="45" t="s">
        <v>40</v>
      </c>
      <c r="B14" s="45">
        <v>15</v>
      </c>
      <c r="C14" s="45">
        <v>115.86619375000001</v>
      </c>
      <c r="D14" s="45"/>
      <c r="E14" s="45"/>
      <c r="F14" s="45"/>
    </row>
    <row r="15" spans="1:9" ht="15" thickBot="1" x14ac:dyDescent="0.35"/>
    <row r="16" spans="1:9" x14ac:dyDescent="0.3">
      <c r="A16" s="46"/>
      <c r="B16" s="46" t="s">
        <v>47</v>
      </c>
      <c r="C16" s="46" t="s">
        <v>36</v>
      </c>
      <c r="D16" s="46" t="s">
        <v>48</v>
      </c>
      <c r="E16" s="46" t="s">
        <v>49</v>
      </c>
      <c r="F16" s="46" t="s">
        <v>50</v>
      </c>
      <c r="G16" s="46" t="s">
        <v>51</v>
      </c>
      <c r="H16" s="46" t="s">
        <v>52</v>
      </c>
      <c r="I16" s="46" t="s">
        <v>53</v>
      </c>
    </row>
    <row r="17" spans="1:9" x14ac:dyDescent="0.3">
      <c r="A17" t="s">
        <v>41</v>
      </c>
      <c r="B17">
        <v>1.8621228958241252</v>
      </c>
      <c r="C17">
        <v>0.78207804763256705</v>
      </c>
      <c r="D17">
        <v>2.3809936891349501</v>
      </c>
      <c r="E17">
        <v>3.2012280459179435E-2</v>
      </c>
      <c r="F17">
        <v>0.1847323103490488</v>
      </c>
      <c r="G17">
        <v>3.5395134812992017</v>
      </c>
      <c r="H17">
        <v>0.1847323103490488</v>
      </c>
      <c r="I17">
        <v>3.5395134812992017</v>
      </c>
    </row>
    <row r="18" spans="1:9" ht="15" thickBot="1" x14ac:dyDescent="0.35">
      <c r="A18" s="45" t="s">
        <v>54</v>
      </c>
      <c r="B18" s="45">
        <v>0.33617739127296986</v>
      </c>
      <c r="C18" s="45">
        <v>0.10292001950172566</v>
      </c>
      <c r="D18" s="45">
        <v>3.2663945547283264</v>
      </c>
      <c r="E18" s="45">
        <v>5.6261683427865673E-3</v>
      </c>
      <c r="F18" s="45">
        <v>0.11543590352542785</v>
      </c>
      <c r="G18" s="45">
        <v>0.55691887902051185</v>
      </c>
      <c r="H18" s="45">
        <v>0.11543590352542785</v>
      </c>
      <c r="I18" s="45">
        <v>0.55691887902051185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31B-766B-41E0-BE25-19C52607D12B}">
  <dimension ref="B4:U44"/>
  <sheetViews>
    <sheetView zoomScale="70" zoomScaleNormal="70" workbookViewId="0">
      <selection activeCell="M56" sqref="M56"/>
    </sheetView>
  </sheetViews>
  <sheetFormatPr defaultRowHeight="14.4" x14ac:dyDescent="0.3"/>
  <cols>
    <col min="2" max="2" width="12.33203125" customWidth="1"/>
    <col min="4" max="6" width="5.77734375" customWidth="1"/>
    <col min="7" max="7" width="13.44140625" customWidth="1"/>
    <col min="8" max="8" width="13.77734375" customWidth="1"/>
    <col min="9" max="9" width="8.88671875" customWidth="1"/>
    <col min="13" max="13" width="4.6640625" customWidth="1"/>
    <col min="16" max="16" width="16" customWidth="1"/>
    <col min="17" max="18" width="7" customWidth="1"/>
    <col min="19" max="19" width="10.21875" customWidth="1"/>
    <col min="20" max="20" width="6.6640625" customWidth="1"/>
    <col min="21" max="21" width="6.88671875" customWidth="1"/>
  </cols>
  <sheetData>
    <row r="4" spans="3:14" ht="15" thickBot="1" x14ac:dyDescent="0.35"/>
    <row r="5" spans="3:14" ht="15.6" x14ac:dyDescent="0.3">
      <c r="C5" s="79" t="s">
        <v>0</v>
      </c>
      <c r="D5" s="80" t="s">
        <v>1</v>
      </c>
      <c r="E5" s="80" t="s">
        <v>2</v>
      </c>
      <c r="F5" s="80" t="s">
        <v>28</v>
      </c>
      <c r="G5" s="81" t="b">
        <v>1</v>
      </c>
      <c r="N5" s="107" t="s">
        <v>78</v>
      </c>
    </row>
    <row r="6" spans="3:14" ht="15.6" x14ac:dyDescent="0.3">
      <c r="C6" s="73">
        <v>1</v>
      </c>
      <c r="D6" s="1">
        <v>741</v>
      </c>
      <c r="E6" s="1">
        <v>297</v>
      </c>
      <c r="F6" s="1">
        <v>367</v>
      </c>
      <c r="G6" s="74">
        <v>8.4499999999999993</v>
      </c>
      <c r="N6" s="107" t="s">
        <v>77</v>
      </c>
    </row>
    <row r="7" spans="3:14" ht="15.6" x14ac:dyDescent="0.3">
      <c r="C7" s="73">
        <v>2</v>
      </c>
      <c r="D7" s="1">
        <v>948</v>
      </c>
      <c r="E7" s="1">
        <v>638</v>
      </c>
      <c r="F7" s="1">
        <v>785</v>
      </c>
      <c r="G7" s="74">
        <v>9.25</v>
      </c>
      <c r="N7" s="107" t="s">
        <v>79</v>
      </c>
    </row>
    <row r="8" spans="3:14" ht="15.6" x14ac:dyDescent="0.3">
      <c r="C8" s="73">
        <v>3</v>
      </c>
      <c r="D8" s="1">
        <v>100</v>
      </c>
      <c r="E8" s="1">
        <v>241</v>
      </c>
      <c r="F8" s="1">
        <v>150</v>
      </c>
      <c r="G8" s="74">
        <v>0</v>
      </c>
      <c r="N8" s="107" t="s">
        <v>80</v>
      </c>
    </row>
    <row r="9" spans="3:14" ht="15.6" x14ac:dyDescent="0.3">
      <c r="C9" s="73">
        <v>4</v>
      </c>
      <c r="D9" s="1">
        <v>708</v>
      </c>
      <c r="E9" s="1">
        <v>310</v>
      </c>
      <c r="F9" s="1">
        <v>747</v>
      </c>
      <c r="G9" s="74">
        <v>0</v>
      </c>
      <c r="N9" s="107" t="s">
        <v>93</v>
      </c>
    </row>
    <row r="10" spans="3:14" x14ac:dyDescent="0.3">
      <c r="C10" s="73">
        <v>5</v>
      </c>
      <c r="D10" s="1">
        <v>20</v>
      </c>
      <c r="E10" s="1">
        <v>763</v>
      </c>
      <c r="F10" s="1">
        <v>305</v>
      </c>
      <c r="G10" s="74">
        <v>9.3800000000000008</v>
      </c>
    </row>
    <row r="11" spans="3:14" x14ac:dyDescent="0.3">
      <c r="C11" s="73">
        <v>6</v>
      </c>
      <c r="D11" s="1">
        <v>124</v>
      </c>
      <c r="E11" s="1">
        <v>764</v>
      </c>
      <c r="F11" s="1">
        <v>770</v>
      </c>
      <c r="G11" s="74">
        <v>3.65</v>
      </c>
    </row>
    <row r="12" spans="3:14" ht="15" thickBot="1" x14ac:dyDescent="0.35">
      <c r="C12" s="73">
        <v>7</v>
      </c>
      <c r="D12" s="1">
        <v>836</v>
      </c>
      <c r="E12" s="1">
        <v>510</v>
      </c>
      <c r="F12" s="1">
        <v>175</v>
      </c>
      <c r="G12" s="74">
        <v>18.940000000000001</v>
      </c>
    </row>
    <row r="13" spans="3:14" x14ac:dyDescent="0.3">
      <c r="C13" s="73">
        <v>8</v>
      </c>
      <c r="D13" s="1">
        <v>776</v>
      </c>
      <c r="E13" s="1">
        <v>615</v>
      </c>
      <c r="F13" s="1">
        <v>247</v>
      </c>
      <c r="G13" s="74">
        <v>4.83</v>
      </c>
      <c r="K13" s="138" t="s">
        <v>65</v>
      </c>
      <c r="L13" s="139"/>
    </row>
    <row r="14" spans="3:14" x14ac:dyDescent="0.3">
      <c r="C14" s="73">
        <v>9</v>
      </c>
      <c r="D14" s="1">
        <v>112</v>
      </c>
      <c r="E14" s="1">
        <v>941</v>
      </c>
      <c r="F14" s="1">
        <v>110</v>
      </c>
      <c r="G14" s="74">
        <v>0</v>
      </c>
      <c r="K14" s="140"/>
      <c r="L14" s="141"/>
    </row>
    <row r="15" spans="3:14" x14ac:dyDescent="0.3">
      <c r="C15" s="73">
        <v>10</v>
      </c>
      <c r="D15" s="1">
        <v>566</v>
      </c>
      <c r="E15" s="1">
        <v>293</v>
      </c>
      <c r="F15" s="1">
        <v>222</v>
      </c>
      <c r="G15" s="74">
        <v>28.8</v>
      </c>
      <c r="K15" s="140"/>
      <c r="L15" s="141"/>
    </row>
    <row r="16" spans="3:14" x14ac:dyDescent="0.3">
      <c r="C16" s="73">
        <v>11</v>
      </c>
      <c r="D16" s="1">
        <v>827</v>
      </c>
      <c r="E16" s="1">
        <v>744</v>
      </c>
      <c r="F16" s="1">
        <v>450</v>
      </c>
      <c r="G16" s="74">
        <v>5.65</v>
      </c>
      <c r="K16" s="140"/>
      <c r="L16" s="141"/>
    </row>
    <row r="17" spans="2:21" x14ac:dyDescent="0.3">
      <c r="C17" s="73">
        <v>12</v>
      </c>
      <c r="D17" s="1">
        <v>740</v>
      </c>
      <c r="E17" s="1">
        <v>533</v>
      </c>
      <c r="F17" s="1">
        <v>348</v>
      </c>
      <c r="G17" s="74">
        <v>0.05</v>
      </c>
      <c r="K17" s="140"/>
      <c r="L17" s="141"/>
    </row>
    <row r="18" spans="2:21" ht="15" thickBot="1" x14ac:dyDescent="0.35">
      <c r="C18" s="73">
        <v>13</v>
      </c>
      <c r="D18" s="1">
        <v>290</v>
      </c>
      <c r="E18" s="1">
        <v>900</v>
      </c>
      <c r="F18" s="1">
        <v>418</v>
      </c>
      <c r="G18" s="74">
        <v>3.27</v>
      </c>
      <c r="K18" s="142"/>
      <c r="L18" s="143"/>
    </row>
    <row r="19" spans="2:21" x14ac:dyDescent="0.3">
      <c r="C19" s="73">
        <v>14</v>
      </c>
      <c r="D19" s="1">
        <v>530</v>
      </c>
      <c r="E19" s="1">
        <v>895</v>
      </c>
      <c r="F19" s="1">
        <v>401</v>
      </c>
      <c r="G19" s="74">
        <v>3.54</v>
      </c>
      <c r="I19" s="1"/>
      <c r="J19" s="1"/>
      <c r="K19" s="1"/>
      <c r="L19" s="1"/>
    </row>
    <row r="20" spans="2:21" x14ac:dyDescent="0.3">
      <c r="C20" s="73">
        <v>15</v>
      </c>
      <c r="D20" s="1">
        <v>471</v>
      </c>
      <c r="E20" s="1">
        <v>252</v>
      </c>
      <c r="F20" s="1">
        <v>616</v>
      </c>
      <c r="G20" s="74">
        <v>10.57</v>
      </c>
      <c r="I20" s="1"/>
      <c r="J20" s="1"/>
      <c r="K20" s="1"/>
      <c r="L20" s="1"/>
      <c r="M20" s="1"/>
      <c r="N20" s="1"/>
    </row>
    <row r="21" spans="2:21" ht="29.4" thickBot="1" x14ac:dyDescent="0.35">
      <c r="C21" s="75">
        <v>16</v>
      </c>
      <c r="D21" s="76">
        <v>817</v>
      </c>
      <c r="E21" s="76">
        <v>429</v>
      </c>
      <c r="F21" s="76">
        <v>366</v>
      </c>
      <c r="G21" s="77">
        <v>6.67</v>
      </c>
      <c r="N21" s="25" t="s">
        <v>0</v>
      </c>
      <c r="O21" s="25" t="b">
        <v>1</v>
      </c>
      <c r="P21" s="98" t="s">
        <v>72</v>
      </c>
      <c r="Q21" s="99" t="s">
        <v>73</v>
      </c>
      <c r="R21" s="100" t="s">
        <v>74</v>
      </c>
      <c r="S21" s="101" t="s">
        <v>72</v>
      </c>
      <c r="T21" s="102" t="s">
        <v>73</v>
      </c>
      <c r="U21" s="103" t="s">
        <v>74</v>
      </c>
    </row>
    <row r="22" spans="2:21" x14ac:dyDescent="0.3">
      <c r="N22" s="26">
        <v>1</v>
      </c>
      <c r="O22" s="34">
        <v>8.4499999999999993</v>
      </c>
      <c r="P22" s="89">
        <v>13.58</v>
      </c>
      <c r="Q22" s="82">
        <f>IF(O22&gt;P22,1,0)</f>
        <v>0</v>
      </c>
      <c r="R22" s="90">
        <f>IF(O22&lt;P22,1,0)</f>
        <v>1</v>
      </c>
      <c r="S22" s="95">
        <v>12.39525118414703</v>
      </c>
      <c r="T22" s="83">
        <f>IF(O22&gt;S22,1,0)</f>
        <v>0</v>
      </c>
      <c r="U22" s="84">
        <f>IF(O22&lt;S22,1,0)</f>
        <v>1</v>
      </c>
    </row>
    <row r="23" spans="2:21" x14ac:dyDescent="0.3">
      <c r="N23" s="28">
        <v>2</v>
      </c>
      <c r="O23" s="1">
        <v>9.25</v>
      </c>
      <c r="P23" s="91">
        <v>17.13</v>
      </c>
      <c r="Q23" s="66">
        <f t="shared" ref="Q23:Q37" si="0">IF(O23&gt;P23,1,0)</f>
        <v>0</v>
      </c>
      <c r="R23" s="92">
        <f t="shared" ref="R23:R37" si="1">IF(O23&lt;P23,1,0)</f>
        <v>1</v>
      </c>
      <c r="S23" s="96">
        <v>15.229811147759975</v>
      </c>
      <c r="T23" s="69">
        <f t="shared" ref="T23:T37" si="2">IF(O23&gt;S23,1,0)</f>
        <v>0</v>
      </c>
      <c r="U23" s="85">
        <f t="shared" ref="U23:U37" si="3">IF(O23&lt;S23,1,0)</f>
        <v>1</v>
      </c>
    </row>
    <row r="24" spans="2:21" ht="15" thickBot="1" x14ac:dyDescent="0.35">
      <c r="N24" s="28">
        <v>3</v>
      </c>
      <c r="O24" s="1">
        <v>0</v>
      </c>
      <c r="P24" s="91">
        <v>1.62</v>
      </c>
      <c r="Q24" s="66">
        <f t="shared" si="0"/>
        <v>0</v>
      </c>
      <c r="R24" s="92">
        <f t="shared" si="1"/>
        <v>1</v>
      </c>
      <c r="S24" s="96">
        <v>0.28222432409914733</v>
      </c>
      <c r="T24" s="69">
        <f t="shared" si="2"/>
        <v>0</v>
      </c>
      <c r="U24" s="85">
        <f t="shared" si="3"/>
        <v>1</v>
      </c>
    </row>
    <row r="25" spans="2:21" x14ac:dyDescent="0.3">
      <c r="B25" s="62" t="s">
        <v>68</v>
      </c>
      <c r="C25" s="62" t="s">
        <v>59</v>
      </c>
      <c r="D25" s="63" t="s">
        <v>61</v>
      </c>
      <c r="E25" s="63" t="s">
        <v>60</v>
      </c>
      <c r="F25" s="63" t="s">
        <v>62</v>
      </c>
      <c r="G25" s="62" t="s">
        <v>63</v>
      </c>
      <c r="H25" s="64" t="s">
        <v>64</v>
      </c>
      <c r="N25" s="28">
        <v>4</v>
      </c>
      <c r="O25" s="1">
        <v>0</v>
      </c>
      <c r="P25" s="91">
        <v>1E-3</v>
      </c>
      <c r="Q25" s="66">
        <f t="shared" si="0"/>
        <v>0</v>
      </c>
      <c r="R25" s="92">
        <f t="shared" si="1"/>
        <v>1</v>
      </c>
      <c r="S25" s="96">
        <v>0.39</v>
      </c>
      <c r="T25" s="69">
        <f t="shared" si="2"/>
        <v>0</v>
      </c>
      <c r="U25" s="85">
        <f t="shared" si="3"/>
        <v>1</v>
      </c>
    </row>
    <row r="26" spans="2:21" x14ac:dyDescent="0.3">
      <c r="B26" s="65">
        <v>1</v>
      </c>
      <c r="C26" s="65">
        <v>1</v>
      </c>
      <c r="D26" s="66">
        <v>1</v>
      </c>
      <c r="E26" s="66">
        <v>1</v>
      </c>
      <c r="F26" s="66">
        <v>0.5</v>
      </c>
      <c r="G26" s="67">
        <f>Q39</f>
        <v>7.4999999999999997E-2</v>
      </c>
      <c r="H26" s="71">
        <f>R39</f>
        <v>0.82499999999999996</v>
      </c>
      <c r="N26" s="28">
        <v>5</v>
      </c>
      <c r="O26" s="1">
        <v>9.3800000000000008</v>
      </c>
      <c r="P26" s="91">
        <v>10.47</v>
      </c>
      <c r="Q26" s="66">
        <f t="shared" si="0"/>
        <v>0</v>
      </c>
      <c r="R26" s="92">
        <f t="shared" si="1"/>
        <v>1</v>
      </c>
      <c r="S26" s="96">
        <v>9.9083421365187547</v>
      </c>
      <c r="T26" s="69">
        <f t="shared" si="2"/>
        <v>0</v>
      </c>
      <c r="U26" s="85">
        <f t="shared" si="3"/>
        <v>1</v>
      </c>
    </row>
    <row r="27" spans="2:21" x14ac:dyDescent="0.3">
      <c r="B27" s="68">
        <v>2</v>
      </c>
      <c r="C27" s="68">
        <v>2</v>
      </c>
      <c r="D27" s="69">
        <v>1</v>
      </c>
      <c r="E27" s="69">
        <v>1</v>
      </c>
      <c r="F27" s="69">
        <v>0.5</v>
      </c>
      <c r="G27" s="70">
        <f>T39</f>
        <v>0.13750000000000001</v>
      </c>
      <c r="H27" s="72">
        <f>U39</f>
        <v>0.76249999999999996</v>
      </c>
      <c r="N27" s="28">
        <v>6</v>
      </c>
      <c r="O27" s="1">
        <v>3.65</v>
      </c>
      <c r="P27" s="91">
        <v>9.39</v>
      </c>
      <c r="Q27" s="66">
        <f t="shared" si="0"/>
        <v>0</v>
      </c>
      <c r="R27" s="92">
        <f t="shared" si="1"/>
        <v>1</v>
      </c>
      <c r="S27" s="96">
        <v>8.4996631003521088</v>
      </c>
      <c r="T27" s="69">
        <f t="shared" si="2"/>
        <v>0</v>
      </c>
      <c r="U27" s="85">
        <f t="shared" si="3"/>
        <v>1</v>
      </c>
    </row>
    <row r="28" spans="2:21" x14ac:dyDescent="0.3">
      <c r="B28" s="56">
        <v>3</v>
      </c>
      <c r="C28" s="56">
        <v>3</v>
      </c>
      <c r="D28">
        <v>2</v>
      </c>
      <c r="E28">
        <v>1</v>
      </c>
      <c r="F28">
        <v>0.5</v>
      </c>
      <c r="G28" s="105">
        <v>1.2E-4</v>
      </c>
      <c r="H28" s="61">
        <f t="shared" ref="G28:H29" ca="1" si="4">RAND()</f>
        <v>0.42510467063206758</v>
      </c>
      <c r="N28" s="28">
        <v>7</v>
      </c>
      <c r="O28" s="1">
        <v>18.940000000000001</v>
      </c>
      <c r="P28" s="91">
        <v>21.98</v>
      </c>
      <c r="Q28" s="66">
        <f t="shared" si="0"/>
        <v>0</v>
      </c>
      <c r="R28" s="92">
        <f t="shared" si="1"/>
        <v>1</v>
      </c>
      <c r="S28" s="96">
        <v>5.2</v>
      </c>
      <c r="T28" s="69">
        <f t="shared" si="2"/>
        <v>1</v>
      </c>
      <c r="U28" s="85">
        <f t="shared" si="3"/>
        <v>0</v>
      </c>
    </row>
    <row r="29" spans="2:21" x14ac:dyDescent="0.3">
      <c r="B29" s="56">
        <v>4</v>
      </c>
      <c r="C29" s="56">
        <v>4</v>
      </c>
      <c r="D29">
        <v>2</v>
      </c>
      <c r="E29">
        <v>1</v>
      </c>
      <c r="F29">
        <v>0.5</v>
      </c>
      <c r="G29" s="60">
        <f t="shared" ca="1" si="4"/>
        <v>0.14794085055857165</v>
      </c>
      <c r="H29" s="104">
        <v>4.2099999999999999E-2</v>
      </c>
      <c r="N29" s="28">
        <v>8</v>
      </c>
      <c r="O29" s="1">
        <v>4.83</v>
      </c>
      <c r="P29" s="91">
        <v>2.0299999999999998</v>
      </c>
      <c r="Q29" s="66">
        <f t="shared" si="0"/>
        <v>1</v>
      </c>
      <c r="R29" s="92">
        <f t="shared" si="1"/>
        <v>0</v>
      </c>
      <c r="S29" s="96">
        <v>0.24745591346743834</v>
      </c>
      <c r="T29" s="69">
        <f t="shared" si="2"/>
        <v>1</v>
      </c>
      <c r="U29" s="85">
        <f t="shared" si="3"/>
        <v>0</v>
      </c>
    </row>
    <row r="30" spans="2:21" x14ac:dyDescent="0.3">
      <c r="B30" s="56" t="s">
        <v>22</v>
      </c>
      <c r="C30" s="56" t="s">
        <v>22</v>
      </c>
      <c r="D30" t="s">
        <v>22</v>
      </c>
      <c r="E30" t="s">
        <v>22</v>
      </c>
      <c r="F30" t="s">
        <v>22</v>
      </c>
      <c r="G30" s="56" t="s">
        <v>22</v>
      </c>
      <c r="H30" s="57" t="s">
        <v>22</v>
      </c>
      <c r="N30" s="28">
        <v>9</v>
      </c>
      <c r="O30" s="1">
        <v>0</v>
      </c>
      <c r="P30" s="91">
        <v>0.06</v>
      </c>
      <c r="Q30" s="66">
        <f t="shared" si="0"/>
        <v>0</v>
      </c>
      <c r="R30" s="92">
        <f t="shared" si="1"/>
        <v>1</v>
      </c>
      <c r="S30" s="96">
        <v>1.25</v>
      </c>
      <c r="T30" s="69">
        <f t="shared" si="2"/>
        <v>0</v>
      </c>
      <c r="U30" s="85">
        <f t="shared" si="3"/>
        <v>1</v>
      </c>
    </row>
    <row r="31" spans="2:21" x14ac:dyDescent="0.3">
      <c r="B31" s="56" t="s">
        <v>22</v>
      </c>
      <c r="C31" s="56" t="s">
        <v>22</v>
      </c>
      <c r="D31" t="s">
        <v>22</v>
      </c>
      <c r="E31" t="s">
        <v>22</v>
      </c>
      <c r="F31" t="s">
        <v>22</v>
      </c>
      <c r="G31" s="56" t="s">
        <v>22</v>
      </c>
      <c r="H31" s="57" t="s">
        <v>22</v>
      </c>
      <c r="N31" s="28">
        <v>10</v>
      </c>
      <c r="O31" s="1">
        <v>28.8</v>
      </c>
      <c r="P31" s="91">
        <v>39.229999999999997</v>
      </c>
      <c r="Q31" s="66">
        <f t="shared" si="0"/>
        <v>0</v>
      </c>
      <c r="R31" s="92">
        <f t="shared" si="1"/>
        <v>1</v>
      </c>
      <c r="S31" s="96">
        <v>37.814541030977772</v>
      </c>
      <c r="T31" s="69">
        <f t="shared" si="2"/>
        <v>0</v>
      </c>
      <c r="U31" s="85">
        <f t="shared" si="3"/>
        <v>1</v>
      </c>
    </row>
    <row r="32" spans="2:21" x14ac:dyDescent="0.3">
      <c r="B32" s="56" t="s">
        <v>22</v>
      </c>
      <c r="C32" s="56" t="s">
        <v>22</v>
      </c>
      <c r="D32" t="s">
        <v>22</v>
      </c>
      <c r="E32" t="s">
        <v>22</v>
      </c>
      <c r="F32" t="s">
        <v>22</v>
      </c>
      <c r="G32" s="56" t="s">
        <v>22</v>
      </c>
      <c r="H32" s="57" t="s">
        <v>22</v>
      </c>
      <c r="N32" s="28">
        <v>11</v>
      </c>
      <c r="O32" s="1">
        <v>5.65</v>
      </c>
      <c r="P32" s="91">
        <v>10.87</v>
      </c>
      <c r="Q32" s="66">
        <f t="shared" si="0"/>
        <v>0</v>
      </c>
      <c r="R32" s="92">
        <f t="shared" si="1"/>
        <v>1</v>
      </c>
      <c r="S32" s="96">
        <v>9.0037132854272635</v>
      </c>
      <c r="T32" s="69">
        <f t="shared" si="2"/>
        <v>0</v>
      </c>
      <c r="U32" s="85">
        <f t="shared" si="3"/>
        <v>1</v>
      </c>
    </row>
    <row r="33" spans="2:21" ht="15" thickBot="1" x14ac:dyDescent="0.35">
      <c r="B33" s="58" t="s">
        <v>22</v>
      </c>
      <c r="C33" s="58" t="s">
        <v>22</v>
      </c>
      <c r="D33" s="45" t="s">
        <v>22</v>
      </c>
      <c r="E33" s="45" t="s">
        <v>22</v>
      </c>
      <c r="F33" s="45" t="s">
        <v>22</v>
      </c>
      <c r="G33" s="58" t="s">
        <v>22</v>
      </c>
      <c r="H33" s="59" t="s">
        <v>22</v>
      </c>
      <c r="N33" s="28">
        <v>12</v>
      </c>
      <c r="O33" s="1">
        <v>0.05</v>
      </c>
      <c r="P33" s="91">
        <v>1.38</v>
      </c>
      <c r="Q33" s="66">
        <f t="shared" si="0"/>
        <v>0</v>
      </c>
      <c r="R33" s="92">
        <f t="shared" si="1"/>
        <v>1</v>
      </c>
      <c r="S33" s="96">
        <v>1.0667146909685163</v>
      </c>
      <c r="T33" s="69">
        <f t="shared" si="2"/>
        <v>0</v>
      </c>
      <c r="U33" s="85">
        <f t="shared" si="3"/>
        <v>1</v>
      </c>
    </row>
    <row r="34" spans="2:21" x14ac:dyDescent="0.3">
      <c r="N34" s="28">
        <v>13</v>
      </c>
      <c r="O34" s="1">
        <v>3.27</v>
      </c>
      <c r="P34" s="91">
        <v>6.67</v>
      </c>
      <c r="Q34" s="66">
        <f t="shared" si="0"/>
        <v>0</v>
      </c>
      <c r="R34" s="92">
        <f t="shared" si="1"/>
        <v>1</v>
      </c>
      <c r="S34" s="96">
        <v>5.6999695930900511</v>
      </c>
      <c r="T34" s="69">
        <f t="shared" si="2"/>
        <v>0</v>
      </c>
      <c r="U34" s="85">
        <f t="shared" si="3"/>
        <v>1</v>
      </c>
    </row>
    <row r="35" spans="2:21" x14ac:dyDescent="0.3">
      <c r="F35" t="s">
        <v>71</v>
      </c>
      <c r="G35" s="54">
        <f ca="1">MIN(G26:G29)</f>
        <v>1.2E-4</v>
      </c>
      <c r="H35" s="54">
        <f ca="1">MIN(H26:H29)</f>
        <v>4.2099999999999999E-2</v>
      </c>
      <c r="N35" s="28">
        <v>14</v>
      </c>
      <c r="O35" s="1">
        <v>3.54</v>
      </c>
      <c r="P35" s="91">
        <v>5.68</v>
      </c>
      <c r="Q35" s="66">
        <f t="shared" si="0"/>
        <v>0</v>
      </c>
      <c r="R35" s="92">
        <f t="shared" si="1"/>
        <v>1</v>
      </c>
      <c r="S35" s="96">
        <v>4.2652627988882044</v>
      </c>
      <c r="T35" s="69">
        <f t="shared" si="2"/>
        <v>0</v>
      </c>
      <c r="U35" s="85">
        <f t="shared" si="3"/>
        <v>1</v>
      </c>
    </row>
    <row r="36" spans="2:21" ht="15" thickBot="1" x14ac:dyDescent="0.35">
      <c r="N36" s="28">
        <v>15</v>
      </c>
      <c r="O36" s="1">
        <v>10.57</v>
      </c>
      <c r="P36" s="91">
        <v>9.84</v>
      </c>
      <c r="Q36" s="66">
        <f t="shared" si="0"/>
        <v>1</v>
      </c>
      <c r="R36" s="92">
        <f t="shared" si="1"/>
        <v>0</v>
      </c>
      <c r="S36" s="96">
        <v>8.4226939674832675</v>
      </c>
      <c r="T36" s="69">
        <f t="shared" si="2"/>
        <v>1</v>
      </c>
      <c r="U36" s="85">
        <f t="shared" si="3"/>
        <v>0</v>
      </c>
    </row>
    <row r="37" spans="2:21" x14ac:dyDescent="0.3">
      <c r="B37" s="157" t="s">
        <v>95</v>
      </c>
      <c r="C37" s="158"/>
      <c r="D37" s="158"/>
      <c r="E37" s="158"/>
      <c r="F37" s="55"/>
      <c r="G37" s="78" t="s">
        <v>75</v>
      </c>
      <c r="N37" s="30">
        <v>16</v>
      </c>
      <c r="O37" s="35">
        <v>6.67</v>
      </c>
      <c r="P37" s="93">
        <v>7.2</v>
      </c>
      <c r="Q37" s="86">
        <f t="shared" si="0"/>
        <v>0</v>
      </c>
      <c r="R37" s="94">
        <f t="shared" si="1"/>
        <v>1</v>
      </c>
      <c r="S37" s="97">
        <v>7.1986787394817275</v>
      </c>
      <c r="T37" s="87">
        <f t="shared" si="2"/>
        <v>0</v>
      </c>
      <c r="U37" s="88">
        <f t="shared" si="3"/>
        <v>1</v>
      </c>
    </row>
    <row r="38" spans="2:21" ht="15" thickBot="1" x14ac:dyDescent="0.35">
      <c r="B38" s="159" t="s">
        <v>94</v>
      </c>
      <c r="C38" s="160"/>
      <c r="D38" s="160"/>
      <c r="E38" s="160"/>
      <c r="F38" s="45"/>
      <c r="G38" s="106" t="s">
        <v>76</v>
      </c>
      <c r="P38" t="s">
        <v>69</v>
      </c>
      <c r="Q38" s="66">
        <f>AVERAGE(Q22:Q37)</f>
        <v>0.125</v>
      </c>
      <c r="R38" s="66">
        <f>AVERAGE(R22:R37)</f>
        <v>0.875</v>
      </c>
      <c r="T38" s="69">
        <f>AVERAGE(T22:T37)</f>
        <v>0.1875</v>
      </c>
      <c r="U38" s="69">
        <f>AVERAGE(U22:U37)</f>
        <v>0.8125</v>
      </c>
    </row>
    <row r="39" spans="2:21" x14ac:dyDescent="0.3">
      <c r="P39" t="s">
        <v>70</v>
      </c>
      <c r="Q39" s="66">
        <f>Q38-0.05</f>
        <v>7.4999999999999997E-2</v>
      </c>
      <c r="R39" s="66">
        <f>R38-0.05</f>
        <v>0.82499999999999996</v>
      </c>
      <c r="T39" s="69">
        <f>T38-0.05</f>
        <v>0.13750000000000001</v>
      </c>
      <c r="U39" s="69">
        <f>U38-0.05</f>
        <v>0.76249999999999996</v>
      </c>
    </row>
    <row r="41" spans="2:21" ht="18" x14ac:dyDescent="0.35">
      <c r="K41" s="120" t="s">
        <v>87</v>
      </c>
      <c r="L41" s="119" t="s">
        <v>88</v>
      </c>
    </row>
    <row r="42" spans="2:21" ht="15.6" x14ac:dyDescent="0.3">
      <c r="L42" s="107" t="s">
        <v>89</v>
      </c>
    </row>
    <row r="43" spans="2:21" x14ac:dyDescent="0.3">
      <c r="L43" s="43" t="s">
        <v>90</v>
      </c>
    </row>
    <row r="44" spans="2:21" x14ac:dyDescent="0.3">
      <c r="L44" t="s">
        <v>91</v>
      </c>
    </row>
  </sheetData>
  <mergeCells count="1">
    <mergeCell ref="K13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C9D6-2333-41E8-97C6-9FADE584365B}">
  <dimension ref="C4:R33"/>
  <sheetViews>
    <sheetView tabSelected="1" topLeftCell="A2" zoomScale="85" zoomScaleNormal="85" workbookViewId="0">
      <selection activeCell="V27" sqref="V27"/>
    </sheetView>
  </sheetViews>
  <sheetFormatPr defaultRowHeight="14.4" x14ac:dyDescent="0.3"/>
  <cols>
    <col min="3" max="6" width="9.33203125" customWidth="1"/>
    <col min="7" max="7" width="9.5546875" bestFit="1" customWidth="1"/>
    <col min="15" max="15" width="9.6640625" customWidth="1"/>
    <col min="17" max="17" width="9.6640625" customWidth="1"/>
  </cols>
  <sheetData>
    <row r="4" spans="3:18" ht="15" thickBot="1" x14ac:dyDescent="0.35"/>
    <row r="5" spans="3:18" x14ac:dyDescent="0.3">
      <c r="C5" s="146" t="s">
        <v>95</v>
      </c>
      <c r="D5" s="147"/>
      <c r="E5" s="147"/>
      <c r="F5" s="147"/>
      <c r="G5" s="114" t="s">
        <v>75</v>
      </c>
    </row>
    <row r="6" spans="3:18" ht="15" thickBot="1" x14ac:dyDescent="0.35">
      <c r="C6" s="144" t="s">
        <v>94</v>
      </c>
      <c r="D6" s="145"/>
      <c r="E6" s="145"/>
      <c r="F6" s="145"/>
      <c r="G6" s="115" t="s">
        <v>76</v>
      </c>
    </row>
    <row r="7" spans="3:18" ht="15" thickBot="1" x14ac:dyDescent="0.35"/>
    <row r="8" spans="3:18" x14ac:dyDescent="0.3">
      <c r="C8" s="108" t="s">
        <v>0</v>
      </c>
      <c r="D8" s="80" t="s">
        <v>1</v>
      </c>
      <c r="E8" s="80" t="s">
        <v>2</v>
      </c>
      <c r="F8" s="81" t="s">
        <v>28</v>
      </c>
      <c r="M8" s="108" t="s">
        <v>0</v>
      </c>
      <c r="N8" s="80" t="b">
        <v>1</v>
      </c>
      <c r="O8" s="116" t="s">
        <v>83</v>
      </c>
      <c r="P8" s="80" t="s">
        <v>67</v>
      </c>
      <c r="Q8" s="111" t="s">
        <v>82</v>
      </c>
      <c r="R8" s="81" t="s">
        <v>66</v>
      </c>
    </row>
    <row r="9" spans="3:18" x14ac:dyDescent="0.3">
      <c r="C9" s="109">
        <v>5000</v>
      </c>
      <c r="D9" s="1">
        <v>741</v>
      </c>
      <c r="E9" s="1">
        <v>297</v>
      </c>
      <c r="F9" s="74">
        <v>367</v>
      </c>
      <c r="M9" s="109">
        <v>5000</v>
      </c>
      <c r="N9" s="1">
        <v>13.58</v>
      </c>
      <c r="O9" s="117">
        <v>8</v>
      </c>
      <c r="P9" s="1">
        <f>IF(O9&lt;=N9,1,0)</f>
        <v>1</v>
      </c>
      <c r="Q9" s="112">
        <v>14</v>
      </c>
      <c r="R9" s="74">
        <f>IF(Q9&gt;=N9,1,0)</f>
        <v>1</v>
      </c>
    </row>
    <row r="10" spans="3:18" x14ac:dyDescent="0.3">
      <c r="C10" s="109">
        <v>5001</v>
      </c>
      <c r="D10" s="1">
        <v>948</v>
      </c>
      <c r="E10" s="1">
        <v>638</v>
      </c>
      <c r="F10" s="74">
        <v>785</v>
      </c>
      <c r="M10" s="109">
        <v>5001</v>
      </c>
      <c r="N10" s="1">
        <v>17.13</v>
      </c>
      <c r="O10" s="117">
        <v>10</v>
      </c>
      <c r="P10" s="1">
        <f t="shared" ref="P10:P24" si="0">IF(O10&lt;=N10,1,0)</f>
        <v>1</v>
      </c>
      <c r="Q10" s="112">
        <v>18</v>
      </c>
      <c r="R10" s="74">
        <f t="shared" ref="R10:R24" si="1">IF(Q10&gt;=N10,1,0)</f>
        <v>1</v>
      </c>
    </row>
    <row r="11" spans="3:18" ht="15" thickBot="1" x14ac:dyDescent="0.35">
      <c r="C11" s="109">
        <v>5002</v>
      </c>
      <c r="D11" s="1">
        <v>100</v>
      </c>
      <c r="E11" s="1">
        <v>241</v>
      </c>
      <c r="F11" s="74">
        <v>150</v>
      </c>
      <c r="M11" s="109">
        <v>5002</v>
      </c>
      <c r="N11" s="1">
        <v>1.62</v>
      </c>
      <c r="O11" s="117">
        <v>0.01</v>
      </c>
      <c r="P11" s="1">
        <f t="shared" si="0"/>
        <v>1</v>
      </c>
      <c r="Q11" s="112">
        <v>2</v>
      </c>
      <c r="R11" s="74">
        <f t="shared" si="1"/>
        <v>1</v>
      </c>
    </row>
    <row r="12" spans="3:18" x14ac:dyDescent="0.3">
      <c r="C12" s="109">
        <v>5003</v>
      </c>
      <c r="D12" s="1">
        <v>708</v>
      </c>
      <c r="E12" s="1">
        <v>310</v>
      </c>
      <c r="F12" s="74">
        <v>747</v>
      </c>
      <c r="I12" s="148" t="s">
        <v>81</v>
      </c>
      <c r="J12" s="149"/>
      <c r="K12" s="150"/>
      <c r="M12" s="109">
        <v>5003</v>
      </c>
      <c r="N12" s="1">
        <v>0</v>
      </c>
      <c r="O12" s="117">
        <v>0.01</v>
      </c>
      <c r="P12" s="1">
        <f t="shared" si="0"/>
        <v>0</v>
      </c>
      <c r="Q12" s="112">
        <v>3</v>
      </c>
      <c r="R12" s="74">
        <f t="shared" si="1"/>
        <v>1</v>
      </c>
    </row>
    <row r="13" spans="3:18" x14ac:dyDescent="0.3">
      <c r="C13" s="109">
        <v>5004</v>
      </c>
      <c r="D13" s="1">
        <v>20</v>
      </c>
      <c r="E13" s="1">
        <v>763</v>
      </c>
      <c r="F13" s="74">
        <v>305</v>
      </c>
      <c r="I13" s="151"/>
      <c r="J13" s="152"/>
      <c r="K13" s="153"/>
      <c r="M13" s="109">
        <v>5004</v>
      </c>
      <c r="N13" s="1">
        <v>10.47</v>
      </c>
      <c r="O13" s="117">
        <v>10</v>
      </c>
      <c r="P13" s="1">
        <f t="shared" si="0"/>
        <v>1</v>
      </c>
      <c r="Q13" s="112">
        <v>15</v>
      </c>
      <c r="R13" s="74">
        <f t="shared" si="1"/>
        <v>1</v>
      </c>
    </row>
    <row r="14" spans="3:18" x14ac:dyDescent="0.3">
      <c r="C14" s="109">
        <v>5005</v>
      </c>
      <c r="D14" s="1">
        <v>124</v>
      </c>
      <c r="E14" s="1">
        <v>764</v>
      </c>
      <c r="F14" s="74">
        <v>770</v>
      </c>
      <c r="I14" s="151"/>
      <c r="J14" s="152"/>
      <c r="K14" s="153"/>
      <c r="M14" s="109">
        <v>5005</v>
      </c>
      <c r="N14" s="1">
        <v>9.39</v>
      </c>
      <c r="O14" s="117">
        <v>9</v>
      </c>
      <c r="P14" s="1">
        <f t="shared" si="0"/>
        <v>1</v>
      </c>
      <c r="Q14" s="112">
        <v>20</v>
      </c>
      <c r="R14" s="74">
        <f t="shared" si="1"/>
        <v>1</v>
      </c>
    </row>
    <row r="15" spans="3:18" x14ac:dyDescent="0.3">
      <c r="C15" s="109">
        <v>5006</v>
      </c>
      <c r="D15" s="1">
        <v>836</v>
      </c>
      <c r="E15" s="1">
        <v>510</v>
      </c>
      <c r="F15" s="74">
        <v>175</v>
      </c>
      <c r="I15" s="151"/>
      <c r="J15" s="152"/>
      <c r="K15" s="153"/>
      <c r="M15" s="109">
        <v>5006</v>
      </c>
      <c r="N15" s="1">
        <v>21.98</v>
      </c>
      <c r="O15" s="117">
        <v>14</v>
      </c>
      <c r="P15" s="1">
        <f t="shared" si="0"/>
        <v>1</v>
      </c>
      <c r="Q15" s="112">
        <v>22</v>
      </c>
      <c r="R15" s="74">
        <f t="shared" si="1"/>
        <v>1</v>
      </c>
    </row>
    <row r="16" spans="3:18" ht="15" thickBot="1" x14ac:dyDescent="0.35">
      <c r="C16" s="109">
        <v>5007</v>
      </c>
      <c r="D16" s="1">
        <v>776</v>
      </c>
      <c r="E16" s="1">
        <v>615</v>
      </c>
      <c r="F16" s="74">
        <v>247</v>
      </c>
      <c r="I16" s="154"/>
      <c r="J16" s="155"/>
      <c r="K16" s="156"/>
      <c r="M16" s="109">
        <v>5007</v>
      </c>
      <c r="N16" s="1">
        <v>2.0299999999999998</v>
      </c>
      <c r="O16" s="117">
        <v>0.3</v>
      </c>
      <c r="P16" s="1">
        <f t="shared" si="0"/>
        <v>1</v>
      </c>
      <c r="Q16" s="112">
        <v>3</v>
      </c>
      <c r="R16" s="74">
        <f t="shared" si="1"/>
        <v>1</v>
      </c>
    </row>
    <row r="17" spans="3:18" x14ac:dyDescent="0.3">
      <c r="C17" s="109">
        <v>5008</v>
      </c>
      <c r="D17" s="1">
        <v>112</v>
      </c>
      <c r="E17" s="1">
        <v>941</v>
      </c>
      <c r="F17" s="74">
        <v>110</v>
      </c>
      <c r="M17" s="109">
        <v>5008</v>
      </c>
      <c r="N17" s="1">
        <v>0</v>
      </c>
      <c r="O17" s="117">
        <v>0.1</v>
      </c>
      <c r="P17" s="1">
        <f t="shared" si="0"/>
        <v>0</v>
      </c>
      <c r="Q17" s="112">
        <v>5</v>
      </c>
      <c r="R17" s="74">
        <f t="shared" si="1"/>
        <v>1</v>
      </c>
    </row>
    <row r="18" spans="3:18" x14ac:dyDescent="0.3">
      <c r="C18" s="109">
        <v>5009</v>
      </c>
      <c r="D18" s="1">
        <v>566</v>
      </c>
      <c r="E18" s="1">
        <v>293</v>
      </c>
      <c r="F18" s="74">
        <v>222</v>
      </c>
      <c r="M18" s="109">
        <v>5009</v>
      </c>
      <c r="N18" s="1">
        <v>39.229999999999997</v>
      </c>
      <c r="O18" s="117">
        <v>30</v>
      </c>
      <c r="P18" s="1">
        <f t="shared" si="0"/>
        <v>1</v>
      </c>
      <c r="Q18" s="112">
        <v>25</v>
      </c>
      <c r="R18" s="74">
        <f t="shared" si="1"/>
        <v>0</v>
      </c>
    </row>
    <row r="19" spans="3:18" x14ac:dyDescent="0.3">
      <c r="C19" s="109">
        <v>5010</v>
      </c>
      <c r="D19" s="1">
        <v>827</v>
      </c>
      <c r="E19" s="1">
        <v>744</v>
      </c>
      <c r="F19" s="74">
        <v>450</v>
      </c>
      <c r="M19" s="109">
        <v>5010</v>
      </c>
      <c r="N19" s="1">
        <v>10.87</v>
      </c>
      <c r="O19" s="117">
        <v>10</v>
      </c>
      <c r="P19" s="1">
        <f t="shared" si="0"/>
        <v>1</v>
      </c>
      <c r="Q19" s="112">
        <v>15</v>
      </c>
      <c r="R19" s="74">
        <f t="shared" si="1"/>
        <v>1</v>
      </c>
    </row>
    <row r="20" spans="3:18" x14ac:dyDescent="0.3">
      <c r="C20" s="109">
        <v>5011</v>
      </c>
      <c r="D20" s="1">
        <v>740</v>
      </c>
      <c r="E20" s="1">
        <v>533</v>
      </c>
      <c r="F20" s="74">
        <v>348</v>
      </c>
      <c r="M20" s="109">
        <v>5011</v>
      </c>
      <c r="N20" s="1">
        <v>0</v>
      </c>
      <c r="O20" s="117">
        <v>2.5999999999999999E-2</v>
      </c>
      <c r="P20" s="1">
        <f t="shared" si="0"/>
        <v>0</v>
      </c>
      <c r="Q20" s="112">
        <v>19</v>
      </c>
      <c r="R20" s="74">
        <f t="shared" si="1"/>
        <v>1</v>
      </c>
    </row>
    <row r="21" spans="3:18" x14ac:dyDescent="0.3">
      <c r="C21" s="109">
        <v>5012</v>
      </c>
      <c r="D21" s="1">
        <v>290</v>
      </c>
      <c r="E21" s="1">
        <v>900</v>
      </c>
      <c r="F21" s="74">
        <v>418</v>
      </c>
      <c r="M21" s="109">
        <v>5012</v>
      </c>
      <c r="N21" s="1">
        <v>6.67</v>
      </c>
      <c r="O21" s="117">
        <v>3</v>
      </c>
      <c r="P21" s="1">
        <f t="shared" si="0"/>
        <v>1</v>
      </c>
      <c r="Q21" s="112">
        <v>7</v>
      </c>
      <c r="R21" s="74">
        <f t="shared" si="1"/>
        <v>1</v>
      </c>
    </row>
    <row r="22" spans="3:18" x14ac:dyDescent="0.3">
      <c r="C22" s="109">
        <v>5013</v>
      </c>
      <c r="D22" s="1">
        <v>530</v>
      </c>
      <c r="E22" s="1">
        <v>895</v>
      </c>
      <c r="F22" s="74">
        <v>401</v>
      </c>
      <c r="M22" s="109">
        <v>5013</v>
      </c>
      <c r="N22" s="1">
        <v>0</v>
      </c>
      <c r="O22" s="117">
        <v>8.9999999999999993E-3</v>
      </c>
      <c r="P22" s="1">
        <f t="shared" si="0"/>
        <v>0</v>
      </c>
      <c r="Q22" s="112">
        <v>5</v>
      </c>
      <c r="R22" s="74">
        <f t="shared" si="1"/>
        <v>1</v>
      </c>
    </row>
    <row r="23" spans="3:18" x14ac:dyDescent="0.3">
      <c r="C23" s="109">
        <v>5014</v>
      </c>
      <c r="D23" s="1">
        <v>471</v>
      </c>
      <c r="E23" s="1">
        <v>252</v>
      </c>
      <c r="F23" s="74">
        <v>616</v>
      </c>
      <c r="M23" s="109">
        <v>5014</v>
      </c>
      <c r="N23" s="1">
        <v>9.84</v>
      </c>
      <c r="O23" s="117">
        <v>4</v>
      </c>
      <c r="P23" s="1">
        <f t="shared" si="0"/>
        <v>1</v>
      </c>
      <c r="Q23" s="112">
        <v>23</v>
      </c>
      <c r="R23" s="74">
        <f t="shared" si="1"/>
        <v>1</v>
      </c>
    </row>
    <row r="24" spans="3:18" ht="15" thickBot="1" x14ac:dyDescent="0.35">
      <c r="C24" s="110">
        <v>5015</v>
      </c>
      <c r="D24" s="76">
        <v>817</v>
      </c>
      <c r="E24" s="76">
        <v>429</v>
      </c>
      <c r="F24" s="77">
        <v>366</v>
      </c>
      <c r="M24" s="110">
        <v>5015</v>
      </c>
      <c r="N24" s="76">
        <v>7.2</v>
      </c>
      <c r="O24" s="118">
        <v>9</v>
      </c>
      <c r="P24" s="76">
        <f t="shared" si="0"/>
        <v>0</v>
      </c>
      <c r="Q24" s="113">
        <v>8</v>
      </c>
      <c r="R24" s="77">
        <f t="shared" si="1"/>
        <v>1</v>
      </c>
    </row>
    <row r="26" spans="3:18" x14ac:dyDescent="0.3">
      <c r="O26" s="25" t="s">
        <v>27</v>
      </c>
      <c r="P26" s="25">
        <f>AVERAGE(P9:P24)</f>
        <v>0.6875</v>
      </c>
      <c r="Q26" s="25"/>
      <c r="R26" s="25">
        <f>AVERAGE(R9:R24)</f>
        <v>0.9375</v>
      </c>
    </row>
    <row r="27" spans="3:18" x14ac:dyDescent="0.3">
      <c r="O27" t="s">
        <v>86</v>
      </c>
    </row>
    <row r="29" spans="3:18" x14ac:dyDescent="0.3">
      <c r="I29" t="s">
        <v>84</v>
      </c>
    </row>
    <row r="30" spans="3:18" x14ac:dyDescent="0.3">
      <c r="I30" t="s">
        <v>96</v>
      </c>
    </row>
    <row r="31" spans="3:18" x14ac:dyDescent="0.3">
      <c r="I31" t="s">
        <v>85</v>
      </c>
    </row>
    <row r="33" spans="9:10" ht="18" x14ac:dyDescent="0.35">
      <c r="I33" s="120" t="s">
        <v>87</v>
      </c>
      <c r="J33" t="s">
        <v>97</v>
      </c>
    </row>
  </sheetData>
  <mergeCells count="3">
    <mergeCell ref="C5:F5"/>
    <mergeCell ref="C6:F6"/>
    <mergeCell ref="I12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CP 1</vt:lpstr>
      <vt:lpstr>CP 2</vt:lpstr>
      <vt:lpstr>LM</vt:lpstr>
      <vt:lpstr>QR 1</vt:lpstr>
      <vt:lpstr>QR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Guth</dc:creator>
  <cp:lastModifiedBy>Hannes Guth</cp:lastModifiedBy>
  <dcterms:created xsi:type="dcterms:W3CDTF">2024-06-17T11:09:42Z</dcterms:created>
  <dcterms:modified xsi:type="dcterms:W3CDTF">2024-06-21T09:51:38Z</dcterms:modified>
</cp:coreProperties>
</file>